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СМЕТА" sheetId="1" r:id="rId3"/>
    <sheet state="visible" name="ДЕТАЛИЗАЦИЯ" sheetId="2" r:id="rId4"/>
    <sheet state="visible" name="ВЗНОСЫ" sheetId="3" r:id="rId5"/>
    <sheet state="visible" name="ЭЛЕКТРО" sheetId="4" r:id="rId6"/>
    <sheet state="visible" name="ПЕНИ" sheetId="5" r:id="rId7"/>
  </sheets>
  <definedNames/>
  <calcPr/>
</workbook>
</file>

<file path=xl/sharedStrings.xml><?xml version="1.0" encoding="utf-8"?>
<sst xmlns="http://schemas.openxmlformats.org/spreadsheetml/2006/main" count="742" uniqueCount="231">
  <si>
    <t>СМЕТА ДОХОДОВ И РАСХОДОВ ДНТ "КОЛОКОЛЬЦЕВО" НА 2018 ГОД</t>
  </si>
  <si>
    <t>ОБЩАЯ СМЕТА РАСХОДОВ ДНТ "КОЛОКОЛЬЦЕВО"</t>
  </si>
  <si>
    <t>N участка</t>
  </si>
  <si>
    <t>ФОТ ПРЕДСЕДАТЕЛЯ ПРАВЛЕНИЯ</t>
  </si>
  <si>
    <t>Взносы в ПФР</t>
  </si>
  <si>
    <t>Собственник</t>
  </si>
  <si>
    <t>Январь</t>
  </si>
  <si>
    <t>Февраль</t>
  </si>
  <si>
    <t>Март</t>
  </si>
  <si>
    <t>Апрель</t>
  </si>
  <si>
    <t>Май</t>
  </si>
  <si>
    <t>Июнь</t>
  </si>
  <si>
    <t>Взносы в ФСС</t>
  </si>
  <si>
    <t>Взносы в ФСС НС</t>
  </si>
  <si>
    <t>Взносы в ФОМС</t>
  </si>
  <si>
    <t>2018 ГОД</t>
  </si>
  <si>
    <t>НДФЛ</t>
  </si>
  <si>
    <t>Июль</t>
  </si>
  <si>
    <t xml:space="preserve"> </t>
  </si>
  <si>
    <t>Август</t>
  </si>
  <si>
    <t>Сентябрь</t>
  </si>
  <si>
    <t>Октябрь</t>
  </si>
  <si>
    <t>Ноябрь</t>
  </si>
  <si>
    <t>Декабрь</t>
  </si>
  <si>
    <t>К перечислению председателю</t>
  </si>
  <si>
    <t>Всего</t>
  </si>
  <si>
    <t>В МЕСЯЦ</t>
  </si>
  <si>
    <t>В ГОД</t>
  </si>
  <si>
    <t>ИТОГО</t>
  </si>
  <si>
    <t>1-2</t>
  </si>
  <si>
    <t>ФОТ председателя правления, включая ПФР, ФСС, ФМС, НДФЛ</t>
  </si>
  <si>
    <t>Фомина Зинаида Алексеевна</t>
  </si>
  <si>
    <t>ФОТ УПРАВЛЯЮЩЕГО</t>
  </si>
  <si>
    <t>ФОТ управляющего, включая ПФР, ФСС, ФМС, НДФЛ</t>
  </si>
  <si>
    <t>ФОТ электрика, включая ПФР, ФСС, ФМС, НДФЛ</t>
  </si>
  <si>
    <t>К перечислению управляющему</t>
  </si>
  <si>
    <t>Земельный налог</t>
  </si>
  <si>
    <t>ФОТ ЭЛЕКТРИКА</t>
  </si>
  <si>
    <t>Услуги по охране</t>
  </si>
  <si>
    <t>К перечислению электрику</t>
  </si>
  <si>
    <t>БЛАГОУСТРОЙСТВО</t>
  </si>
  <si>
    <t>РЕМОНТЫ ДОРОГИ 3 КМ С ПОДСЫПКОЙ</t>
  </si>
  <si>
    <t>Услуги по бухгалтерскому учету</t>
  </si>
  <si>
    <t>Услуги по обслуживанию насосной станции</t>
  </si>
  <si>
    <t>Услуги по размещению и вывозу бытовых отходов</t>
  </si>
  <si>
    <t>3-4</t>
  </si>
  <si>
    <t>Услуги связи (охрана)</t>
  </si>
  <si>
    <t>Услуги хостинга (сайт)</t>
  </si>
  <si>
    <t>РЕМОНТ ВНУТРЕННЕЙ ДОРОГИ С ПОДСЫПКОЙ</t>
  </si>
  <si>
    <t>Услуги банка (РКО)</t>
  </si>
  <si>
    <t>РЕМОНТНЫЕ РАБОТЫ НА ТЕРРИТОРИИ</t>
  </si>
  <si>
    <t>Электроснабжение МОП (охрана, насосная станция, освещение, потери)</t>
  </si>
  <si>
    <t>ПОКОСНЫЕ РАБОТЫ</t>
  </si>
  <si>
    <t>УБОРКА СНЕГА</t>
  </si>
  <si>
    <t>ГРЕЙДЕР</t>
  </si>
  <si>
    <t>Благоустройство (покос, снег, грейдер, ремонт и др.)</t>
  </si>
  <si>
    <t>ПРОЧИЕ</t>
  </si>
  <si>
    <t>Содержание дочернего ООО "Лето"</t>
  </si>
  <si>
    <t>АРЕНДА ЗАЛА</t>
  </si>
  <si>
    <t>ЗАМЕНА СВЕТИЛЬНИКОВ МОП</t>
  </si>
  <si>
    <t>Содержание сторожевой собаки</t>
  </si>
  <si>
    <t>НОТАРИАТ</t>
  </si>
  <si>
    <t>ЭЦП</t>
  </si>
  <si>
    <t>Прочее (инвентарь, нотариат, аренда зала, и др.)</t>
  </si>
  <si>
    <t>МЕЛКИЙ ИНВЕНТАРЬ</t>
  </si>
  <si>
    <t>АВТОМАТЫ И РАСХОДНЫЕ МАТЕРИАЛЫ</t>
  </si>
  <si>
    <t>Непредвиденные расходы</t>
  </si>
  <si>
    <t>ВСЕГО</t>
  </si>
  <si>
    <t>ЛЕТО</t>
  </si>
  <si>
    <t>БУХГАЛТЕРСКАЯ И ЛЕСНАЯ ОТЧЕТНОСТЬ</t>
  </si>
  <si>
    <t>АРЕНДА ЗЕМЕЛЬНОГО УЧАСТКА</t>
  </si>
  <si>
    <t>РКО</t>
  </si>
  <si>
    <t>БЛАГОУСТРОЙСТВО ЛЕСНОГО УЧАСТКА</t>
  </si>
  <si>
    <t>5-6</t>
  </si>
  <si>
    <t>Горишняков Сергей Александрович</t>
  </si>
  <si>
    <t>7-8</t>
  </si>
  <si>
    <t>Козлова Клавдия Ивановна</t>
  </si>
  <si>
    <t>ОБЩАЯ СМЕТА ДОХОДОВ ДНТ "КОЛОКОЛЬЦЕВО"</t>
  </si>
  <si>
    <t>Переходящий остаток средств на 2018 год</t>
  </si>
  <si>
    <t>9-10</t>
  </si>
  <si>
    <t>Архипов Глеб Владимирович</t>
  </si>
  <si>
    <t>Реализация услуг в 2018 году</t>
  </si>
  <si>
    <t>11-12</t>
  </si>
  <si>
    <t>Молдованов Андрей Владимирович</t>
  </si>
  <si>
    <t>Ежемесячные взносы на 2018 год</t>
  </si>
  <si>
    <t>13-14</t>
  </si>
  <si>
    <t>Ветров Геннадий Иванович</t>
  </si>
  <si>
    <t>15</t>
  </si>
  <si>
    <t>Перепелкин Владислав Александрович</t>
  </si>
  <si>
    <t>16</t>
  </si>
  <si>
    <t>Добровольская Наталья Вячеславовна</t>
  </si>
  <si>
    <t>Ежемесячные взносы</t>
  </si>
  <si>
    <t xml:space="preserve">  </t>
  </si>
  <si>
    <t>17</t>
  </si>
  <si>
    <t>Васильева Алина Владимировна</t>
  </si>
  <si>
    <t>18-20</t>
  </si>
  <si>
    <t>Жукова Лариса Юрьевна</t>
  </si>
  <si>
    <t>Размер</t>
  </si>
  <si>
    <t>19-21</t>
  </si>
  <si>
    <t>Количество участков</t>
  </si>
  <si>
    <t>Назаров Владимир Владимирович</t>
  </si>
  <si>
    <t>Всего в месяц</t>
  </si>
  <si>
    <t>22</t>
  </si>
  <si>
    <t>Жуков Валерий Викторович</t>
  </si>
  <si>
    <t>23</t>
  </si>
  <si>
    <t>В год</t>
  </si>
  <si>
    <t>Подлесных Мария Владимировна</t>
  </si>
  <si>
    <t>Участки-1 (12 соток)</t>
  </si>
  <si>
    <t>24-25</t>
  </si>
  <si>
    <t>Сопрачев Константин Александрович</t>
  </si>
  <si>
    <t>Участки-1,5 (18 соток)</t>
  </si>
  <si>
    <t>26</t>
  </si>
  <si>
    <t>Овчаров Андрей Владимирович</t>
  </si>
  <si>
    <t>27-28</t>
  </si>
  <si>
    <t>Марков Кирилл Сергеевич</t>
  </si>
  <si>
    <t>Участки-2 (24 сотки)</t>
  </si>
  <si>
    <t>29</t>
  </si>
  <si>
    <t>Волошин Сергей Владимирович</t>
  </si>
  <si>
    <t>30-31</t>
  </si>
  <si>
    <t>Ясинская Анастасия Юрьевна</t>
  </si>
  <si>
    <t>32</t>
  </si>
  <si>
    <t>Латышева Алина Валерьевна</t>
  </si>
  <si>
    <t>33</t>
  </si>
  <si>
    <t>Эзергайль Александр Александрович</t>
  </si>
  <si>
    <t>34</t>
  </si>
  <si>
    <t>Анишенков Юрий Вениаминович</t>
  </si>
  <si>
    <t>35</t>
  </si>
  <si>
    <t>Войцюх Анатолий Николаевич</t>
  </si>
  <si>
    <t>36-37</t>
  </si>
  <si>
    <t>Белов Сергей Анатольевич</t>
  </si>
  <si>
    <t>38(*)</t>
  </si>
  <si>
    <t>РАЗВИТИЕ ИНФРАСТРУКТУРЫ</t>
  </si>
  <si>
    <t>Сантти Роман Рафаэльевич</t>
  </si>
  <si>
    <t>Расходы, в том числе:</t>
  </si>
  <si>
    <t xml:space="preserve">          доп.мощность и тех.перевооружение электрохозяйства</t>
  </si>
  <si>
    <t>Доходы, в том числе:</t>
  </si>
  <si>
    <t>40(*)</t>
  </si>
  <si>
    <t>Фатеев Павел Александрович</t>
  </si>
  <si>
    <t xml:space="preserve">          переходящий остаток средств на 2018 год</t>
  </si>
  <si>
    <t xml:space="preserve">          целевое финансирование на развитие инфраструктуры и проценты</t>
  </si>
  <si>
    <t>41</t>
  </si>
  <si>
    <t>Осипов Андрей Анатольевич</t>
  </si>
  <si>
    <t>42</t>
  </si>
  <si>
    <t>Акулов Андрей Аркадьевич</t>
  </si>
  <si>
    <t>43</t>
  </si>
  <si>
    <t>44</t>
  </si>
  <si>
    <t>Ганаков Владимир Анатольевич</t>
  </si>
  <si>
    <t>45</t>
  </si>
  <si>
    <t>Кузьменко Татьяна Никитична</t>
  </si>
  <si>
    <t>46</t>
  </si>
  <si>
    <t>Дементьева Ольга Сергеевна</t>
  </si>
  <si>
    <t>47</t>
  </si>
  <si>
    <t>Соколов Владимир Борисович</t>
  </si>
  <si>
    <t>48-49</t>
  </si>
  <si>
    <t>Соколова Елена Николаевна</t>
  </si>
  <si>
    <t>50</t>
  </si>
  <si>
    <t>Плеханов Игорь Альфредович</t>
  </si>
  <si>
    <t>51(*)</t>
  </si>
  <si>
    <t>Караваев Александр Владимирович</t>
  </si>
  <si>
    <t>53(*)</t>
  </si>
  <si>
    <t>Сальвук Светлана Юлиановна</t>
  </si>
  <si>
    <t>54</t>
  </si>
  <si>
    <t>Морозов Алексей Борисович</t>
  </si>
  <si>
    <t>55</t>
  </si>
  <si>
    <t>Васильев Игорь Олегович</t>
  </si>
  <si>
    <t>56</t>
  </si>
  <si>
    <t>Сычев Михаил Викторович</t>
  </si>
  <si>
    <t>Январь 31.01.2018</t>
  </si>
  <si>
    <t>Февраль 28.02.2018</t>
  </si>
  <si>
    <t>Март 31.03.2018</t>
  </si>
  <si>
    <t>Апрель 30.04.2018</t>
  </si>
  <si>
    <t>Май 31.05.2018</t>
  </si>
  <si>
    <t>Июнь 30.06.2018</t>
  </si>
  <si>
    <t>Июль 31.07.2018</t>
  </si>
  <si>
    <t>Август 30.08.2018</t>
  </si>
  <si>
    <t>Т1</t>
  </si>
  <si>
    <t>Т2</t>
  </si>
  <si>
    <t>Тариф</t>
  </si>
  <si>
    <t>Показания</t>
  </si>
  <si>
    <t>Расход</t>
  </si>
  <si>
    <t>Цена</t>
  </si>
  <si>
    <t>Платеж</t>
  </si>
  <si>
    <t>Начислено</t>
  </si>
  <si>
    <t>Оплачено</t>
  </si>
  <si>
    <t>ДОЛГ</t>
  </si>
  <si>
    <t>НАЧИСЛЕНО</t>
  </si>
  <si>
    <t>ПЕРИОДЫ ОПЛАТЫ ПЕНИ</t>
  </si>
  <si>
    <t>всего</t>
  </si>
  <si>
    <t>КВАРТАЛЫ</t>
  </si>
  <si>
    <t>ЕВ-01/ИПЭ-12</t>
  </si>
  <si>
    <t>ЕВ-02/ИПЭ-01</t>
  </si>
  <si>
    <t>ЕВ-03/ИПЭ-02</t>
  </si>
  <si>
    <t>ЕВ-04/ИПЭ-03</t>
  </si>
  <si>
    <t>ЕВ-05/ИПЭ-04</t>
  </si>
  <si>
    <t>ЕВ-06/ИПЭ-05</t>
  </si>
  <si>
    <t>ЕВ-07/ИПЭ-06</t>
  </si>
  <si>
    <t>ЕВ-08/ИПЭ-07</t>
  </si>
  <si>
    <t>ЕВ-09/ИПЭ-08</t>
  </si>
  <si>
    <t>ЕВ-10/ИПЭ-09</t>
  </si>
  <si>
    <t>ЕВ-11/ИПЭ-10</t>
  </si>
  <si>
    <t xml:space="preserve">I </t>
  </si>
  <si>
    <t>II</t>
  </si>
  <si>
    <t>III</t>
  </si>
  <si>
    <t>IV</t>
  </si>
  <si>
    <t>ЕВ-01</t>
  </si>
  <si>
    <t>СРОК</t>
  </si>
  <si>
    <t>РАСЧЕТ</t>
  </si>
  <si>
    <t>ПЕРИОД</t>
  </si>
  <si>
    <t>СТАВКА</t>
  </si>
  <si>
    <t>СУММА</t>
  </si>
  <si>
    <t>ИПЭ-01</t>
  </si>
  <si>
    <t>ЕВ-02</t>
  </si>
  <si>
    <t>ЕВ-03</t>
  </si>
  <si>
    <t>ИПЭ-02</t>
  </si>
  <si>
    <t>ЕВ-04</t>
  </si>
  <si>
    <t>ИПЭ-03</t>
  </si>
  <si>
    <t>ЕВ-05</t>
  </si>
  <si>
    <t>ИПЭ-04</t>
  </si>
  <si>
    <t>ЕВ-06</t>
  </si>
  <si>
    <t>ИПЭ-05</t>
  </si>
  <si>
    <t>ЕВ-07</t>
  </si>
  <si>
    <t>ИПЭ-06</t>
  </si>
  <si>
    <t>ЕВ-08</t>
  </si>
  <si>
    <t>ИПЭ-07</t>
  </si>
  <si>
    <t>ЕВ-09</t>
  </si>
  <si>
    <t>27</t>
  </si>
  <si>
    <t>28</t>
  </si>
  <si>
    <t>38</t>
  </si>
  <si>
    <t>40</t>
  </si>
  <si>
    <t>51</t>
  </si>
  <si>
    <t>53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</si>
</sst>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0&quot;р.&quot;"/>
    <numFmt numFmtId="165" formatCode="#,##0.00&quot;р.&quot;"/>
    <numFmt numFmtId="166" formatCode="0.0000%"/>
    <numFmt numFmtId="167" formatCode="0.0%"/>
    <numFmt numFmtId="168" formatCode="dd.MM.yyyy"/>
    <numFmt numFmtId="169" formatCode="dd\.mm\.yyyy"/>
  </numFmts>
  <fonts count="10">
    <font>
      <sz val="10.0"/>
      <color rgb="FF000000"/>
      <name val="Arimo"/>
    </font>
    <font>
      <sz val="10.0"/>
      <name val="Arial"/>
    </font>
    <font>
      <b/>
      <sz val="14.0"/>
      <name val="Arial"/>
    </font>
    <font>
      <sz val="10.0"/>
      <name val="Arimo"/>
    </font>
    <font>
      <b/>
      <sz val="10.0"/>
      <name val="Arial"/>
    </font>
    <font>
      <b/>
      <sz val="10.0"/>
      <name val="Arimo"/>
    </font>
    <font/>
    <font>
      <sz val="11.0"/>
      <color rgb="FF000000"/>
      <name val="Inconsolata"/>
    </font>
    <font>
      <b/>
      <sz val="10.0"/>
      <color rgb="FFFFFF00"/>
      <name val="Arial"/>
    </font>
    <font>
      <sz val="10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</fills>
  <borders count="62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readingOrder="0" shrinkToFit="0" wrapText="0"/>
    </xf>
    <xf borderId="0" fillId="0" fontId="4" numFmtId="0" xfId="0" applyAlignment="1" applyFont="1">
      <alignment horizontal="center" shrinkToFit="0" wrapText="0"/>
    </xf>
    <xf borderId="0" fillId="0" fontId="4" numFmtId="0" xfId="0" applyAlignment="1" applyFont="1">
      <alignment shrinkToFit="0" wrapText="0"/>
    </xf>
    <xf borderId="0" fillId="0" fontId="5" numFmtId="0" xfId="0" applyAlignment="1" applyFont="1">
      <alignment shrinkToFit="0" wrapText="0"/>
    </xf>
    <xf borderId="1" fillId="0" fontId="4" numFmtId="0" xfId="0" applyAlignment="1" applyBorder="1" applyFont="1">
      <alignment shrinkToFit="0" wrapText="0"/>
    </xf>
    <xf borderId="2" fillId="0" fontId="1" numFmtId="0" xfId="0" applyAlignment="1" applyBorder="1" applyFont="1">
      <alignment shrinkToFit="0" wrapText="0"/>
    </xf>
    <xf borderId="3" fillId="0" fontId="4" numFmtId="0" xfId="0" applyAlignment="1" applyBorder="1" applyFont="1">
      <alignment horizontal="center" shrinkToFit="0" wrapText="0"/>
    </xf>
    <xf borderId="4" fillId="0" fontId="1" numFmtId="0" xfId="0" applyAlignment="1" applyBorder="1" applyFont="1">
      <alignment shrinkToFit="0" wrapText="0"/>
    </xf>
    <xf borderId="5" fillId="0" fontId="4" numFmtId="0" xfId="0" applyAlignment="1" applyBorder="1" applyFont="1">
      <alignment horizontal="center" shrinkToFit="0" wrapText="0"/>
    </xf>
    <xf borderId="6" fillId="0" fontId="4" numFmtId="0" xfId="0" applyAlignment="1" applyBorder="1" applyFont="1">
      <alignment horizontal="center" shrinkToFit="0" wrapText="0"/>
    </xf>
    <xf borderId="7" fillId="0" fontId="1" numFmtId="164" xfId="0" applyAlignment="1" applyBorder="1" applyFont="1" applyNumberFormat="1">
      <alignment shrinkToFit="0" wrapText="0"/>
    </xf>
    <xf borderId="8" fillId="0" fontId="1" numFmtId="0" xfId="0" applyAlignment="1" applyBorder="1" applyFont="1">
      <alignment shrinkToFit="0" wrapText="0"/>
    </xf>
    <xf borderId="9" fillId="0" fontId="4" numFmtId="0" xfId="0" applyAlignment="1" applyBorder="1" applyFont="1">
      <alignment horizontal="center" shrinkToFit="0" wrapText="0"/>
    </xf>
    <xf borderId="10" fillId="0" fontId="4" numFmtId="0" xfId="0" applyAlignment="1" applyBorder="1" applyFont="1">
      <alignment horizontal="center" readingOrder="0" shrinkToFit="0" wrapText="0"/>
    </xf>
    <xf borderId="11" fillId="0" fontId="4" numFmtId="0" xfId="0" applyAlignment="1" applyBorder="1" applyFont="1">
      <alignment horizontal="center" shrinkToFit="0" wrapText="0"/>
    </xf>
    <xf borderId="12" fillId="0" fontId="6" numFmtId="0" xfId="0" applyBorder="1" applyFont="1"/>
    <xf borderId="13" fillId="0" fontId="4" numFmtId="0" xfId="0" applyAlignment="1" applyBorder="1" applyFont="1">
      <alignment horizontal="center" shrinkToFit="0" wrapText="0"/>
    </xf>
    <xf borderId="14" fillId="0" fontId="1" numFmtId="0" xfId="0" applyAlignment="1" applyBorder="1" applyFont="1">
      <alignment shrinkToFit="0" wrapText="0"/>
    </xf>
    <xf borderId="15" fillId="0" fontId="4" numFmtId="0" xfId="0" applyAlignment="1" applyBorder="1" applyFont="1">
      <alignment horizontal="center" shrinkToFit="0" wrapText="0"/>
    </xf>
    <xf borderId="16" fillId="0" fontId="4" numFmtId="0" xfId="0" applyAlignment="1" applyBorder="1" applyFont="1">
      <alignment shrinkToFit="0" wrapText="0"/>
    </xf>
    <xf borderId="0" fillId="0" fontId="4" numFmtId="0" xfId="0" applyAlignment="1" applyFont="1">
      <alignment horizontal="center" readingOrder="0" shrinkToFit="0" wrapText="0"/>
    </xf>
    <xf borderId="12" fillId="0" fontId="4" numFmtId="0" xfId="0" applyAlignment="1" applyBorder="1" applyFont="1">
      <alignment horizontal="center" shrinkToFit="0" wrapText="0"/>
    </xf>
    <xf borderId="17" fillId="0" fontId="1" numFmtId="49" xfId="0" applyAlignment="1" applyBorder="1" applyFont="1" applyNumberFormat="1">
      <alignment shrinkToFit="0" wrapText="0"/>
    </xf>
    <xf borderId="18" fillId="0" fontId="1" numFmtId="0" xfId="0" applyAlignment="1" applyBorder="1" applyFont="1">
      <alignment shrinkToFit="0" wrapText="0"/>
    </xf>
    <xf borderId="17" fillId="0" fontId="1" numFmtId="0" xfId="0" applyAlignment="1" applyBorder="1" applyFont="1">
      <alignment shrinkToFit="0" wrapText="0"/>
    </xf>
    <xf borderId="17" fillId="0" fontId="1" numFmtId="164" xfId="0" applyAlignment="1" applyBorder="1" applyFont="1" applyNumberFormat="1">
      <alignment shrinkToFit="0" wrapText="0"/>
    </xf>
    <xf borderId="19" fillId="0" fontId="4" numFmtId="164" xfId="0" applyAlignment="1" applyBorder="1" applyFont="1" applyNumberFormat="1">
      <alignment shrinkToFit="0" wrapText="0"/>
    </xf>
    <xf borderId="20" fillId="0" fontId="1" numFmtId="164" xfId="0" applyAlignment="1" applyBorder="1" applyFont="1" applyNumberFormat="1">
      <alignment shrinkToFit="0" wrapText="0"/>
    </xf>
    <xf borderId="21" fillId="0" fontId="1" numFmtId="164" xfId="0" applyAlignment="1" applyBorder="1" applyFont="1" applyNumberFormat="1">
      <alignment readingOrder="0" shrinkToFit="0" wrapText="0"/>
    </xf>
    <xf borderId="0" fillId="0" fontId="1" numFmtId="164" xfId="0" applyAlignment="1" applyFont="1" applyNumberFormat="1">
      <alignment shrinkToFit="0" wrapText="0"/>
    </xf>
    <xf borderId="22" fillId="0" fontId="1" numFmtId="164" xfId="0" applyAlignment="1" applyBorder="1" applyFont="1" applyNumberFormat="1">
      <alignment readingOrder="0" shrinkToFit="0" wrapText="0"/>
    </xf>
    <xf borderId="23" fillId="0" fontId="1" numFmtId="0" xfId="0" applyAlignment="1" applyBorder="1" applyFont="1">
      <alignment shrinkToFit="0" wrapText="0"/>
    </xf>
    <xf borderId="24" fillId="0" fontId="1" numFmtId="164" xfId="0" applyAlignment="1" applyBorder="1" applyFont="1" applyNumberFormat="1">
      <alignment readingOrder="0" shrinkToFit="0" wrapText="0"/>
    </xf>
    <xf borderId="25" fillId="0" fontId="1" numFmtId="164" xfId="0" applyAlignment="1" applyBorder="1" applyFont="1" applyNumberFormat="1">
      <alignment shrinkToFit="0" wrapText="0"/>
    </xf>
    <xf borderId="26" fillId="0" fontId="1" numFmtId="164" xfId="0" applyAlignment="1" applyBorder="1" applyFont="1" applyNumberFormat="1">
      <alignment readingOrder="0" shrinkToFit="0" wrapText="0"/>
    </xf>
    <xf borderId="22" fillId="2" fontId="1" numFmtId="164" xfId="0" applyAlignment="1" applyBorder="1" applyFill="1" applyFont="1" applyNumberFormat="1">
      <alignment readingOrder="0" shrinkToFit="0" wrapText="0"/>
    </xf>
    <xf borderId="27" fillId="0" fontId="1" numFmtId="164" xfId="0" applyAlignment="1" applyBorder="1" applyFont="1" applyNumberFormat="1">
      <alignment shrinkToFit="0" wrapText="0"/>
    </xf>
    <xf borderId="22" fillId="0" fontId="1" numFmtId="164" xfId="0" applyAlignment="1" applyBorder="1" applyFont="1" applyNumberFormat="1">
      <alignment shrinkToFit="0" wrapText="0"/>
    </xf>
    <xf borderId="28" fillId="0" fontId="1" numFmtId="164" xfId="0" applyAlignment="1" applyBorder="1" applyFont="1" applyNumberFormat="1">
      <alignment shrinkToFit="0" wrapText="0"/>
    </xf>
    <xf borderId="27" fillId="0" fontId="1" numFmtId="164" xfId="0" applyAlignment="1" applyBorder="1" applyFont="1" applyNumberFormat="1">
      <alignment readingOrder="0" shrinkToFit="0" wrapText="0"/>
    </xf>
    <xf borderId="3" fillId="0" fontId="4" numFmtId="164" xfId="0" applyAlignment="1" applyBorder="1" applyFont="1" applyNumberFormat="1">
      <alignment shrinkToFit="0" wrapText="0"/>
    </xf>
    <xf borderId="4" fillId="0" fontId="1" numFmtId="0" xfId="0" applyAlignment="1" applyBorder="1" applyFont="1">
      <alignment readingOrder="0" shrinkToFit="0" wrapText="0"/>
    </xf>
    <xf borderId="7" fillId="0" fontId="1" numFmtId="164" xfId="0" applyAlignment="1" applyBorder="1" applyFont="1" applyNumberFormat="1">
      <alignment readingOrder="0" shrinkToFit="0" wrapText="0"/>
    </xf>
    <xf borderId="27" fillId="0" fontId="1" numFmtId="49" xfId="0" applyAlignment="1" applyBorder="1" applyFont="1" applyNumberFormat="1">
      <alignment shrinkToFit="0" wrapText="0"/>
    </xf>
    <xf borderId="27" fillId="0" fontId="1" numFmtId="0" xfId="0" applyAlignment="1" applyBorder="1" applyFont="1">
      <alignment shrinkToFit="0" wrapText="0"/>
    </xf>
    <xf borderId="4" fillId="0" fontId="1" numFmtId="164" xfId="0" applyAlignment="1" applyBorder="1" applyFont="1" applyNumberFormat="1">
      <alignment readingOrder="0" shrinkToFit="0" wrapText="0"/>
    </xf>
    <xf borderId="29" fillId="0" fontId="1" numFmtId="164" xfId="0" applyAlignment="1" applyBorder="1" applyFont="1" applyNumberFormat="1">
      <alignment readingOrder="0" shrinkToFit="0" wrapText="0"/>
    </xf>
    <xf borderId="30" fillId="0" fontId="1" numFmtId="164" xfId="0" applyAlignment="1" applyBorder="1" applyFont="1" applyNumberFormat="1">
      <alignment readingOrder="0" shrinkToFit="0" wrapText="0"/>
    </xf>
    <xf borderId="29" fillId="2" fontId="1" numFmtId="164" xfId="0" applyAlignment="1" applyBorder="1" applyFont="1" applyNumberFormat="1">
      <alignment readingOrder="0" shrinkToFit="0" wrapText="0"/>
    </xf>
    <xf borderId="29" fillId="0" fontId="1" numFmtId="164" xfId="0" applyAlignment="1" applyBorder="1" applyFont="1" applyNumberFormat="1">
      <alignment shrinkToFit="0" wrapText="0"/>
    </xf>
    <xf borderId="31" fillId="0" fontId="1" numFmtId="164" xfId="0" applyAlignment="1" applyBorder="1" applyFont="1" applyNumberFormat="1">
      <alignment shrinkToFit="0" wrapText="0"/>
    </xf>
    <xf borderId="10" fillId="0" fontId="4" numFmtId="0" xfId="0" applyAlignment="1" applyBorder="1" applyFont="1">
      <alignment shrinkToFit="0" wrapText="0"/>
    </xf>
    <xf borderId="12" fillId="0" fontId="4" numFmtId="164" xfId="0" applyAlignment="1" applyBorder="1" applyFont="1" applyNumberFormat="1">
      <alignment shrinkToFit="0" wrapText="0"/>
    </xf>
    <xf borderId="31" fillId="0" fontId="1" numFmtId="164" xfId="0" applyAlignment="1" applyBorder="1" applyFont="1" applyNumberFormat="1">
      <alignment readingOrder="0" shrinkToFit="0" wrapText="0"/>
    </xf>
    <xf borderId="32" fillId="0" fontId="1" numFmtId="0" xfId="0" applyAlignment="1" applyBorder="1" applyFont="1">
      <alignment readingOrder="0" shrinkToFit="0" wrapText="0"/>
    </xf>
    <xf borderId="0" fillId="0" fontId="1" numFmtId="164" xfId="0" applyAlignment="1" applyFont="1" applyNumberFormat="1">
      <alignment readingOrder="0" shrinkToFit="0" wrapText="0"/>
    </xf>
    <xf borderId="8" fillId="0" fontId="1" numFmtId="164" xfId="0" applyAlignment="1" applyBorder="1" applyFont="1" applyNumberFormat="1">
      <alignment shrinkToFit="0" wrapText="0"/>
    </xf>
    <xf borderId="33" fillId="0" fontId="1" numFmtId="164" xfId="0" applyAlignment="1" applyBorder="1" applyFont="1" applyNumberFormat="1">
      <alignment readingOrder="0" shrinkToFit="0" wrapText="0"/>
    </xf>
    <xf borderId="0" fillId="0" fontId="3" numFmtId="164" xfId="0" applyAlignment="1" applyFont="1" applyNumberFormat="1">
      <alignment shrinkToFit="0" wrapText="0"/>
    </xf>
    <xf borderId="34" fillId="0" fontId="1" numFmtId="0" xfId="0" applyAlignment="1" applyBorder="1" applyFont="1">
      <alignment readingOrder="0" shrinkToFit="0" wrapText="0"/>
    </xf>
    <xf borderId="35" fillId="0" fontId="1" numFmtId="0" xfId="0" applyAlignment="1" applyBorder="1" applyFont="1">
      <alignment readingOrder="0" shrinkToFit="0" wrapText="0"/>
    </xf>
    <xf borderId="36" fillId="0" fontId="1" numFmtId="164" xfId="0" applyAlignment="1" applyBorder="1" applyFont="1" applyNumberFormat="1">
      <alignment shrinkToFit="0" wrapText="0"/>
    </xf>
    <xf borderId="25" fillId="0" fontId="1" numFmtId="164" xfId="0" applyAlignment="1" applyBorder="1" applyFont="1" applyNumberFormat="1">
      <alignment readingOrder="0" shrinkToFit="0" wrapText="0"/>
    </xf>
    <xf borderId="37" fillId="0" fontId="1" numFmtId="164" xfId="0" applyAlignment="1" applyBorder="1" applyFont="1" applyNumberFormat="1">
      <alignment shrinkToFit="0" wrapText="0"/>
    </xf>
    <xf borderId="38" fillId="0" fontId="1" numFmtId="164" xfId="0" applyAlignment="1" applyBorder="1" applyFont="1" applyNumberFormat="1">
      <alignment readingOrder="0" shrinkToFit="0" wrapText="0"/>
    </xf>
    <xf borderId="39" fillId="0" fontId="1" numFmtId="164" xfId="0" applyAlignment="1" applyBorder="1" applyFont="1" applyNumberFormat="1">
      <alignment shrinkToFit="0" wrapText="0"/>
    </xf>
    <xf borderId="40" fillId="0" fontId="1" numFmtId="164" xfId="0" applyAlignment="1" applyBorder="1" applyFont="1" applyNumberFormat="1">
      <alignment shrinkToFit="0" wrapText="0"/>
    </xf>
    <xf borderId="29" fillId="2" fontId="1" numFmtId="164" xfId="0" applyAlignment="1" applyBorder="1" applyFont="1" applyNumberFormat="1">
      <alignment shrinkToFit="0" wrapText="0"/>
    </xf>
    <xf borderId="10" fillId="0" fontId="4" numFmtId="164" xfId="0" applyAlignment="1" applyBorder="1" applyFont="1" applyNumberFormat="1">
      <alignment horizontal="center" shrinkToFit="0" wrapText="0"/>
    </xf>
    <xf borderId="7" fillId="2" fontId="1" numFmtId="164" xfId="0" applyAlignment="1" applyBorder="1" applyFont="1" applyNumberFormat="1">
      <alignment shrinkToFit="0" wrapText="0"/>
    </xf>
    <xf borderId="30" fillId="2" fontId="1" numFmtId="164" xfId="0" applyAlignment="1" applyBorder="1" applyFont="1" applyNumberFormat="1">
      <alignment shrinkToFit="0" wrapText="0"/>
    </xf>
    <xf borderId="41" fillId="0" fontId="6" numFmtId="0" xfId="0" applyBorder="1" applyFont="1"/>
    <xf borderId="5" fillId="0" fontId="4" numFmtId="0" xfId="0" applyAlignment="1" applyBorder="1" applyFont="1">
      <alignment shrinkToFit="0" vertical="top" wrapText="0"/>
    </xf>
    <xf borderId="6" fillId="0" fontId="4" numFmtId="0" xfId="0" applyAlignment="1" applyBorder="1" applyFont="1">
      <alignment horizontal="center" shrinkToFit="0" vertical="top" wrapText="0"/>
    </xf>
    <xf borderId="13" fillId="0" fontId="4" numFmtId="0" xfId="0" applyAlignment="1" applyBorder="1" applyFont="1">
      <alignment horizontal="center" shrinkToFit="0" vertical="top" wrapText="1"/>
    </xf>
    <xf borderId="3" fillId="0" fontId="4" numFmtId="0" xfId="0" applyAlignment="1" applyBorder="1" applyFont="1">
      <alignment horizontal="center" shrinkToFit="0" vertical="top" wrapText="1"/>
    </xf>
    <xf borderId="12" fillId="0" fontId="4" numFmtId="0" xfId="0" applyAlignment="1" applyBorder="1" applyFont="1">
      <alignment horizontal="center" shrinkToFit="0" vertical="top" wrapText="1"/>
    </xf>
    <xf borderId="7" fillId="2" fontId="1" numFmtId="164" xfId="0" applyAlignment="1" applyBorder="1" applyFont="1" applyNumberFormat="1">
      <alignment readingOrder="0" shrinkToFit="0" wrapText="0"/>
    </xf>
    <xf borderId="21" fillId="0" fontId="1" numFmtId="0" xfId="0" applyAlignment="1" applyBorder="1" applyFont="1">
      <alignment shrinkToFit="0" wrapText="0"/>
    </xf>
    <xf borderId="22" fillId="0" fontId="4" numFmtId="164" xfId="0" applyAlignment="1" applyBorder="1" applyFont="1" applyNumberFormat="1">
      <alignment shrinkToFit="0" wrapText="0"/>
    </xf>
    <xf borderId="28" fillId="0" fontId="1" numFmtId="0" xfId="0" applyAlignment="1" applyBorder="1" applyFont="1">
      <alignment shrinkToFit="0" wrapText="0"/>
    </xf>
    <xf borderId="42" fillId="2" fontId="1" numFmtId="164" xfId="0" applyAlignment="1" applyBorder="1" applyFont="1" applyNumberFormat="1">
      <alignment readingOrder="0" shrinkToFit="0" wrapText="0"/>
    </xf>
    <xf borderId="0" fillId="0" fontId="3" numFmtId="9" xfId="0" applyAlignment="1" applyFont="1" applyNumberFormat="1">
      <alignment shrinkToFit="0" wrapText="0"/>
    </xf>
    <xf borderId="29" fillId="0" fontId="4" numFmtId="164" xfId="0" applyAlignment="1" applyBorder="1" applyFont="1" applyNumberFormat="1">
      <alignment readingOrder="0" shrinkToFit="0" wrapText="0"/>
    </xf>
    <xf borderId="31" fillId="0" fontId="1" numFmtId="0" xfId="0" applyAlignment="1" applyBorder="1" applyFont="1">
      <alignment shrinkToFit="0" wrapText="0"/>
    </xf>
    <xf borderId="43" fillId="0" fontId="1" numFmtId="0" xfId="0" applyAlignment="1" applyBorder="1" applyFont="1">
      <alignment shrinkToFit="0" wrapText="0"/>
    </xf>
    <xf borderId="44" fillId="0" fontId="4" numFmtId="164" xfId="0" applyAlignment="1" applyBorder="1" applyFont="1" applyNumberFormat="1">
      <alignment readingOrder="0" shrinkToFit="0" wrapText="0"/>
    </xf>
    <xf borderId="45" fillId="0" fontId="1" numFmtId="0" xfId="0" applyAlignment="1" applyBorder="1" applyFont="1">
      <alignment shrinkToFit="0" wrapText="0"/>
    </xf>
    <xf borderId="46" fillId="0" fontId="1" numFmtId="164" xfId="0" applyAlignment="1" applyBorder="1" applyFont="1" applyNumberFormat="1">
      <alignment shrinkToFit="0" wrapText="0"/>
    </xf>
    <xf borderId="5" fillId="0" fontId="1" numFmtId="0" xfId="0" applyAlignment="1" applyBorder="1" applyFont="1">
      <alignment shrinkToFit="0" wrapText="0"/>
    </xf>
    <xf borderId="6" fillId="0" fontId="1" numFmtId="164" xfId="0" applyAlignment="1" applyBorder="1" applyFont="1" applyNumberFormat="1">
      <alignment shrinkToFit="0" wrapText="0"/>
    </xf>
    <xf borderId="0" fillId="0" fontId="1" numFmtId="0" xfId="0" applyAlignment="1" applyFont="1">
      <alignment shrinkToFit="0" vertical="top" wrapText="0"/>
    </xf>
    <xf borderId="13" fillId="0" fontId="4" numFmtId="0" xfId="0" applyAlignment="1" applyBorder="1" applyFont="1">
      <alignment shrinkToFit="0" wrapText="0"/>
    </xf>
    <xf borderId="27" fillId="0" fontId="1" numFmtId="49" xfId="0" applyAlignment="1" applyBorder="1" applyFont="1" applyNumberFormat="1">
      <alignment shrinkToFit="0" vertical="top" wrapText="0"/>
    </xf>
    <xf borderId="47" fillId="0" fontId="4" numFmtId="14" xfId="0" applyAlignment="1" applyBorder="1" applyFont="1" applyNumberFormat="1">
      <alignment horizontal="center" shrinkToFit="0" wrapText="0"/>
    </xf>
    <xf borderId="27" fillId="0" fontId="1" numFmtId="0" xfId="0" applyAlignment="1" applyBorder="1" applyFont="1">
      <alignment shrinkToFit="0" vertical="top" wrapText="0"/>
    </xf>
    <xf borderId="48" fillId="0" fontId="6" numFmtId="0" xfId="0" applyBorder="1" applyFont="1"/>
    <xf borderId="4" fillId="0" fontId="1" numFmtId="164" xfId="0" applyAlignment="1" applyBorder="1" applyFont="1" applyNumberFormat="1">
      <alignment readingOrder="0" shrinkToFit="0" vertical="top" wrapText="0"/>
    </xf>
    <xf borderId="1" fillId="0" fontId="1" numFmtId="0" xfId="0" applyAlignment="1" applyBorder="1" applyFont="1">
      <alignment shrinkToFit="0" wrapText="0"/>
    </xf>
    <xf borderId="29" fillId="0" fontId="1" numFmtId="164" xfId="0" applyAlignment="1" applyBorder="1" applyFont="1" applyNumberFormat="1">
      <alignment readingOrder="0" shrinkToFit="0" vertical="top" wrapText="0"/>
    </xf>
    <xf borderId="7" fillId="0" fontId="1" numFmtId="164" xfId="0" applyAlignment="1" applyBorder="1" applyFont="1" applyNumberFormat="1">
      <alignment readingOrder="0" shrinkToFit="0" vertical="top" wrapText="0"/>
    </xf>
    <xf borderId="30" fillId="0" fontId="1" numFmtId="164" xfId="0" applyAlignment="1" applyBorder="1" applyFont="1" applyNumberFormat="1">
      <alignment readingOrder="0" shrinkToFit="0" vertical="top" wrapText="0"/>
    </xf>
    <xf borderId="2" fillId="0" fontId="4" numFmtId="164" xfId="0" applyAlignment="1" applyBorder="1" applyFont="1" applyNumberFormat="1">
      <alignment shrinkToFit="0" wrapText="0"/>
    </xf>
    <xf borderId="31" fillId="0" fontId="1" numFmtId="164" xfId="0" applyAlignment="1" applyBorder="1" applyFont="1" applyNumberFormat="1">
      <alignment shrinkToFit="0" vertical="top" wrapText="0"/>
    </xf>
    <xf borderId="16" fillId="0" fontId="1" numFmtId="0" xfId="0" applyAlignment="1" applyBorder="1" applyFont="1">
      <alignment readingOrder="0" shrinkToFit="0" vertical="top" wrapText="1"/>
    </xf>
    <xf borderId="19" fillId="0" fontId="1" numFmtId="164" xfId="0" applyAlignment="1" applyBorder="1" applyFont="1" applyNumberFormat="1">
      <alignment readingOrder="0" shrinkToFit="0" vertical="top" wrapText="0"/>
    </xf>
    <xf borderId="3" fillId="0" fontId="4" numFmtId="164" xfId="0" applyAlignment="1" applyBorder="1" applyFont="1" applyNumberFormat="1">
      <alignment shrinkToFit="0" vertical="top" wrapText="0"/>
    </xf>
    <xf borderId="27" fillId="0" fontId="1" numFmtId="0" xfId="0" applyAlignment="1" applyBorder="1" applyFont="1">
      <alignment readingOrder="0" shrinkToFit="0" wrapText="0"/>
    </xf>
    <xf borderId="24" fillId="0" fontId="4" numFmtId="164" xfId="0" applyAlignment="1" applyBorder="1" applyFont="1" applyNumberFormat="1">
      <alignment shrinkToFit="0" wrapText="0"/>
    </xf>
    <xf borderId="42" fillId="0" fontId="1" numFmtId="164" xfId="0" applyAlignment="1" applyBorder="1" applyFont="1" applyNumberFormat="1">
      <alignment readingOrder="0" shrinkToFit="0" wrapText="0"/>
    </xf>
    <xf borderId="16" fillId="0" fontId="1" numFmtId="0" xfId="0" applyAlignment="1" applyBorder="1" applyFont="1">
      <alignment shrinkToFit="0" wrapText="0"/>
    </xf>
    <xf borderId="19" fillId="0" fontId="1" numFmtId="164" xfId="0" applyAlignment="1" applyBorder="1" applyFont="1" applyNumberFormat="1">
      <alignment shrinkToFit="0" wrapText="0"/>
    </xf>
    <xf borderId="29" fillId="3" fontId="1" numFmtId="164" xfId="0" applyAlignment="1" applyBorder="1" applyFill="1" applyFont="1" applyNumberFormat="1">
      <alignment readingOrder="0" shrinkToFit="0" wrapText="0"/>
    </xf>
    <xf borderId="42" fillId="2" fontId="1" numFmtId="164" xfId="0" applyAlignment="1" applyBorder="1" applyFont="1" applyNumberFormat="1">
      <alignment shrinkToFit="0" wrapText="0"/>
    </xf>
    <xf borderId="36" fillId="0" fontId="1" numFmtId="49" xfId="0" applyAlignment="1" applyBorder="1" applyFont="1" applyNumberFormat="1">
      <alignment shrinkToFit="0" wrapText="0"/>
    </xf>
    <xf borderId="36" fillId="0" fontId="1" numFmtId="0" xfId="0" applyAlignment="1" applyBorder="1" applyFont="1">
      <alignment shrinkToFit="0" wrapText="0"/>
    </xf>
    <xf borderId="43" fillId="0" fontId="1" numFmtId="164" xfId="0" applyAlignment="1" applyBorder="1" applyFont="1" applyNumberFormat="1">
      <alignment readingOrder="0" shrinkToFit="0" wrapText="0"/>
    </xf>
    <xf borderId="44" fillId="0" fontId="1" numFmtId="164" xfId="0" applyAlignment="1" applyBorder="1" applyFont="1" applyNumberFormat="1">
      <alignment readingOrder="0" shrinkToFit="0" wrapText="0"/>
    </xf>
    <xf borderId="49" fillId="0" fontId="1" numFmtId="164" xfId="0" applyAlignment="1" applyBorder="1" applyFont="1" applyNumberFormat="1">
      <alignment readingOrder="0" shrinkToFit="0" wrapText="0"/>
    </xf>
    <xf borderId="50" fillId="0" fontId="1" numFmtId="164" xfId="0" applyAlignment="1" applyBorder="1" applyFont="1" applyNumberFormat="1">
      <alignment readingOrder="0" shrinkToFit="0" wrapText="0"/>
    </xf>
    <xf borderId="44" fillId="2" fontId="1" numFmtId="164" xfId="0" applyAlignment="1" applyBorder="1" applyFont="1" applyNumberFormat="1">
      <alignment readingOrder="0" shrinkToFit="0" wrapText="0"/>
    </xf>
    <xf borderId="45" fillId="0" fontId="1" numFmtId="164" xfId="0" applyAlignment="1" applyBorder="1" applyFont="1" applyNumberFormat="1">
      <alignment shrinkToFit="0" wrapText="0"/>
    </xf>
    <xf borderId="3" fillId="0" fontId="1" numFmtId="0" xfId="0" applyAlignment="1" applyBorder="1" applyFont="1">
      <alignment shrinkToFit="0" wrapText="0"/>
    </xf>
    <xf borderId="3" fillId="0" fontId="4" numFmtId="0" xfId="0" applyAlignment="1" applyBorder="1" applyFont="1">
      <alignment shrinkToFit="0" wrapText="0"/>
    </xf>
    <xf borderId="10" fillId="0" fontId="4" numFmtId="164" xfId="0" applyAlignment="1" applyBorder="1" applyFont="1" applyNumberFormat="1">
      <alignment shrinkToFit="0" wrapText="0"/>
    </xf>
    <xf borderId="0" fillId="0" fontId="1" numFmtId="0" xfId="0" applyAlignment="1" applyFont="1">
      <alignment readingOrder="0" shrinkToFit="0" wrapText="0"/>
    </xf>
    <xf borderId="47" fillId="0" fontId="4" numFmtId="0" xfId="0" applyAlignment="1" applyBorder="1" applyFont="1">
      <alignment horizontal="center" readingOrder="0" shrinkToFit="0" wrapText="0"/>
    </xf>
    <xf borderId="51" fillId="0" fontId="6" numFmtId="0" xfId="0" applyBorder="1" applyFont="1"/>
    <xf borderId="47" fillId="0" fontId="4" numFmtId="0" xfId="0" applyAlignment="1" applyBorder="1" applyFont="1">
      <alignment horizontal="center" shrinkToFit="0" wrapText="0"/>
    </xf>
    <xf borderId="32" fillId="0" fontId="4" numFmtId="0" xfId="0" applyAlignment="1" applyBorder="1" applyFont="1">
      <alignment horizontal="center" readingOrder="0" shrinkToFit="0" wrapText="0"/>
    </xf>
    <xf borderId="33" fillId="0" fontId="6" numFmtId="0" xfId="0" applyBorder="1" applyFont="1"/>
    <xf borderId="32" fillId="0" fontId="4" numFmtId="0" xfId="0" applyAlignment="1" applyBorder="1" applyFont="1">
      <alignment horizontal="center" shrinkToFit="0" wrapText="0"/>
    </xf>
    <xf borderId="52" fillId="0" fontId="6" numFmtId="0" xfId="0" applyBorder="1" applyFont="1"/>
    <xf borderId="8" fillId="4" fontId="1" numFmtId="0" xfId="0" applyAlignment="1" applyBorder="1" applyFill="1" applyFont="1">
      <alignment horizontal="center" shrinkToFit="0" wrapText="0"/>
    </xf>
    <xf borderId="53" fillId="4" fontId="1" numFmtId="0" xfId="0" applyAlignment="1" applyBorder="1" applyFont="1">
      <alignment horizontal="center" shrinkToFit="0" wrapText="0"/>
    </xf>
    <xf borderId="8" fillId="4" fontId="4" numFmtId="0" xfId="0" applyAlignment="1" applyBorder="1" applyFont="1">
      <alignment horizontal="center" shrinkToFit="0" wrapText="0"/>
    </xf>
    <xf borderId="23" fillId="5" fontId="4" numFmtId="0" xfId="0" applyAlignment="1" applyBorder="1" applyFill="1" applyFont="1">
      <alignment horizontal="center" shrinkToFit="0" wrapText="0"/>
    </xf>
    <xf borderId="25" fillId="0" fontId="6" numFmtId="0" xfId="0" applyBorder="1" applyFont="1"/>
    <xf borderId="10" fillId="0" fontId="4" numFmtId="0" xfId="0" applyAlignment="1" applyBorder="1" applyFont="1">
      <alignment horizontal="center" shrinkToFit="0" wrapText="0"/>
    </xf>
    <xf borderId="16" fillId="0" fontId="1" numFmtId="0" xfId="0" applyAlignment="1" applyBorder="1" applyFont="1">
      <alignment horizontal="center" shrinkToFit="0" wrapText="0"/>
    </xf>
    <xf borderId="54" fillId="0" fontId="1" numFmtId="0" xfId="0" applyAlignment="1" applyBorder="1" applyFont="1">
      <alignment horizontal="center" shrinkToFit="0" wrapText="0"/>
    </xf>
    <xf borderId="19" fillId="0" fontId="1" numFmtId="0" xfId="0" applyAlignment="1" applyBorder="1" applyFont="1">
      <alignment horizontal="center" shrinkToFit="0" wrapText="0"/>
    </xf>
    <xf borderId="14" fillId="4" fontId="1" numFmtId="0" xfId="0" applyAlignment="1" applyBorder="1" applyFont="1">
      <alignment horizontal="center" shrinkToFit="0" wrapText="0"/>
    </xf>
    <xf borderId="55" fillId="4" fontId="1" numFmtId="0" xfId="0" applyAlignment="1" applyBorder="1" applyFont="1">
      <alignment horizontal="center" shrinkToFit="0" wrapText="0"/>
    </xf>
    <xf borderId="16" fillId="5" fontId="1" numFmtId="0" xfId="0" applyAlignment="1" applyBorder="1" applyFont="1">
      <alignment shrinkToFit="0" wrapText="0"/>
    </xf>
    <xf borderId="19" fillId="5" fontId="1" numFmtId="0" xfId="0" applyAlignment="1" applyBorder="1" applyFont="1">
      <alignment horizontal="center" shrinkToFit="0" wrapText="0"/>
    </xf>
    <xf borderId="4" fillId="0" fontId="1" numFmtId="165" xfId="0" applyAlignment="1" applyBorder="1" applyFont="1" applyNumberFormat="1">
      <alignment readingOrder="0" shrinkToFit="0" wrapText="0"/>
    </xf>
    <xf borderId="22" fillId="0" fontId="1" numFmtId="0" xfId="0" applyAlignment="1" applyBorder="1" applyFont="1">
      <alignment shrinkToFit="0" wrapText="0"/>
    </xf>
    <xf borderId="56" fillId="4" fontId="1" numFmtId="164" xfId="0" applyAlignment="1" applyBorder="1" applyFont="1" applyNumberFormat="1">
      <alignment shrinkToFit="0" wrapText="0"/>
    </xf>
    <xf borderId="27" fillId="4" fontId="1" numFmtId="164" xfId="0" applyAlignment="1" applyBorder="1" applyFont="1" applyNumberFormat="1">
      <alignment readingOrder="0" shrinkToFit="0" wrapText="0"/>
    </xf>
    <xf borderId="29" fillId="0" fontId="1" numFmtId="0" xfId="0" applyAlignment="1" applyBorder="1" applyFont="1">
      <alignment shrinkToFit="0" wrapText="0"/>
    </xf>
    <xf borderId="27" fillId="4" fontId="1" numFmtId="164" xfId="0" applyAlignment="1" applyBorder="1" applyFont="1" applyNumberFormat="1">
      <alignment shrinkToFit="0" wrapText="0"/>
    </xf>
    <xf borderId="24" fillId="0" fontId="1" numFmtId="164" xfId="0" applyAlignment="1" applyBorder="1" applyFont="1" applyNumberFormat="1">
      <alignment shrinkToFit="0" wrapText="0"/>
    </xf>
    <xf borderId="57" fillId="4" fontId="1" numFmtId="164" xfId="0" applyAlignment="1" applyBorder="1" applyFont="1" applyNumberFormat="1">
      <alignment shrinkToFit="0" wrapText="0"/>
    </xf>
    <xf borderId="58" fillId="5" fontId="4" numFmtId="164" xfId="0" applyAlignment="1" applyBorder="1" applyFont="1" applyNumberFormat="1">
      <alignment shrinkToFit="0" wrapText="0"/>
    </xf>
    <xf borderId="7" fillId="5" fontId="4" numFmtId="164" xfId="0" applyAlignment="1" applyBorder="1" applyFont="1" applyNumberFormat="1">
      <alignment shrinkToFit="0" wrapText="0"/>
    </xf>
    <xf borderId="22" fillId="0" fontId="1" numFmtId="0" xfId="0" applyAlignment="1" applyBorder="1" applyFont="1">
      <alignment readingOrder="0" shrinkToFit="0" wrapText="0"/>
    </xf>
    <xf borderId="27" fillId="6" fontId="1" numFmtId="164" xfId="0" applyAlignment="1" applyBorder="1" applyFill="1" applyFont="1" applyNumberFormat="1">
      <alignment readingOrder="0" shrinkToFit="0" wrapText="0"/>
    </xf>
    <xf borderId="0" fillId="0" fontId="1" numFmtId="14" xfId="0" applyAlignment="1" applyFont="1" applyNumberFormat="1">
      <alignment shrinkToFit="0" wrapText="0"/>
    </xf>
    <xf borderId="8" fillId="0" fontId="1" numFmtId="0" xfId="0" applyAlignment="1" applyBorder="1" applyFont="1">
      <alignment horizontal="center" shrinkToFit="0" wrapText="0"/>
    </xf>
    <xf borderId="52" fillId="0" fontId="1" numFmtId="0" xfId="0" applyAlignment="1" applyBorder="1" applyFont="1">
      <alignment horizontal="center" shrinkToFit="0" wrapText="0"/>
    </xf>
    <xf borderId="27" fillId="0" fontId="1" numFmtId="0" xfId="0" applyAlignment="1" applyBorder="1" applyFont="1">
      <alignment horizontal="center" shrinkToFit="0" wrapText="0"/>
    </xf>
    <xf borderId="27" fillId="3" fontId="1" numFmtId="164" xfId="0" applyAlignment="1" applyBorder="1" applyFont="1" applyNumberFormat="1">
      <alignment readingOrder="0" shrinkToFit="0" wrapText="0"/>
    </xf>
    <xf borderId="59" fillId="0" fontId="1" numFmtId="0" xfId="0" applyAlignment="1" applyBorder="1" applyFont="1">
      <alignment horizontal="center" shrinkToFit="0" wrapText="0"/>
    </xf>
    <xf borderId="59" fillId="0" fontId="6" numFmtId="0" xfId="0" applyBorder="1" applyFont="1"/>
    <xf borderId="37" fillId="0" fontId="6" numFmtId="0" xfId="0" applyBorder="1" applyFont="1"/>
    <xf borderId="11" fillId="0" fontId="1" numFmtId="0" xfId="0" applyAlignment="1" applyBorder="1" applyFont="1">
      <alignment horizontal="center" shrinkToFit="0" wrapText="0"/>
    </xf>
    <xf borderId="6" fillId="0" fontId="1" numFmtId="0" xfId="0" applyAlignment="1" applyBorder="1" applyFont="1">
      <alignment horizontal="center" shrinkToFit="0" wrapText="0"/>
    </xf>
    <xf borderId="9" fillId="0" fontId="1" numFmtId="0" xfId="0" applyAlignment="1" applyBorder="1" applyFont="1">
      <alignment horizontal="center" shrinkToFit="0" wrapText="0"/>
    </xf>
    <xf borderId="3" fillId="0" fontId="1" numFmtId="0" xfId="0" applyAlignment="1" applyBorder="1" applyFont="1">
      <alignment horizontal="center" shrinkToFit="0" wrapText="0"/>
    </xf>
    <xf borderId="5" fillId="0" fontId="4" numFmtId="0" xfId="0" applyAlignment="1" applyBorder="1" applyFont="1">
      <alignment horizontal="center" readingOrder="0" shrinkToFit="0" wrapText="0"/>
    </xf>
    <xf borderId="26" fillId="0" fontId="1" numFmtId="164" xfId="0" applyAlignment="1" applyBorder="1" applyFont="1" applyNumberFormat="1">
      <alignment shrinkToFit="0" wrapText="0"/>
    </xf>
    <xf borderId="21" fillId="0" fontId="1" numFmtId="164" xfId="0" applyAlignment="1" applyBorder="1" applyFont="1" applyNumberFormat="1">
      <alignment shrinkToFit="0" wrapText="0"/>
    </xf>
    <xf borderId="22" fillId="0" fontId="1" numFmtId="14" xfId="0" applyAlignment="1" applyBorder="1" applyFont="1" applyNumberFormat="1">
      <alignment shrinkToFit="0" wrapText="0"/>
    </xf>
    <xf borderId="22" fillId="0" fontId="1" numFmtId="166" xfId="0" applyAlignment="1" applyBorder="1" applyFont="1" applyNumberFormat="1">
      <alignment shrinkToFit="0" wrapText="0"/>
    </xf>
    <xf borderId="22" fillId="0" fontId="1" numFmtId="3" xfId="0" applyAlignment="1" applyBorder="1" applyFont="1" applyNumberFormat="1">
      <alignment shrinkToFit="0" wrapText="0"/>
    </xf>
    <xf borderId="22" fillId="0" fontId="1" numFmtId="167" xfId="0" applyAlignment="1" applyBorder="1" applyFont="1" applyNumberFormat="1">
      <alignment shrinkToFit="0" wrapText="0"/>
    </xf>
    <xf borderId="28" fillId="0" fontId="4" numFmtId="164" xfId="0" applyAlignment="1" applyBorder="1" applyFont="1" applyNumberFormat="1">
      <alignment shrinkToFit="0" wrapText="0"/>
    </xf>
    <xf borderId="17" fillId="0" fontId="4" numFmtId="164" xfId="0" applyAlignment="1" applyBorder="1" applyFont="1" applyNumberFormat="1">
      <alignment shrinkToFit="0" wrapText="0"/>
    </xf>
    <xf borderId="22" fillId="0" fontId="1" numFmtId="168" xfId="0" applyAlignment="1" applyBorder="1" applyFont="1" applyNumberFormat="1">
      <alignment readingOrder="0" shrinkToFit="0" wrapText="0"/>
    </xf>
    <xf borderId="29" fillId="7" fontId="7" numFmtId="166" xfId="0" applyBorder="1" applyFill="1" applyFont="1" applyNumberFormat="1"/>
    <xf borderId="30" fillId="0" fontId="1" numFmtId="164" xfId="0" applyAlignment="1" applyBorder="1" applyFont="1" applyNumberFormat="1">
      <alignment shrinkToFit="0" wrapText="0"/>
    </xf>
    <xf borderId="17" fillId="0" fontId="8" numFmtId="164" xfId="0" applyAlignment="1" applyBorder="1" applyFont="1" applyNumberFormat="1">
      <alignment shrinkToFit="0" wrapText="0"/>
    </xf>
    <xf borderId="22" fillId="0" fontId="1" numFmtId="167" xfId="0" applyAlignment="1" applyBorder="1" applyFont="1" applyNumberFormat="1">
      <alignment readingOrder="0" shrinkToFit="0" wrapText="0"/>
    </xf>
    <xf borderId="22" fillId="0" fontId="1" numFmtId="169" xfId="0" applyAlignment="1" applyBorder="1" applyFont="1" applyNumberFormat="1">
      <alignment shrinkToFit="0" wrapText="0"/>
    </xf>
    <xf borderId="22" fillId="0" fontId="1" numFmtId="1" xfId="0" applyAlignment="1" applyBorder="1" applyFont="1" applyNumberFormat="1">
      <alignment shrinkToFit="0" wrapText="0"/>
    </xf>
    <xf borderId="22" fillId="0" fontId="1" numFmtId="169" xfId="0" applyAlignment="1" applyBorder="1" applyFont="1" applyNumberFormat="1">
      <alignment readingOrder="0" shrinkToFit="0" wrapText="0"/>
    </xf>
    <xf borderId="56" fillId="0" fontId="1" numFmtId="164" xfId="0" applyAlignment="1" applyBorder="1" applyFont="1" applyNumberFormat="1">
      <alignment shrinkToFit="0" wrapText="0"/>
    </xf>
    <xf borderId="27" fillId="4" fontId="9" numFmtId="164" xfId="0" applyAlignment="1" applyBorder="1" applyFont="1" applyNumberFormat="1">
      <alignment readingOrder="0" shrinkToFit="0" wrapText="0"/>
    </xf>
    <xf borderId="23" fillId="0" fontId="1" numFmtId="0" xfId="0" applyAlignment="1" applyBorder="1" applyFont="1">
      <alignment readingOrder="0" shrinkToFit="0" wrapText="0"/>
    </xf>
    <xf borderId="60" fillId="0" fontId="1" numFmtId="164" xfId="0" applyAlignment="1" applyBorder="1" applyFont="1" applyNumberFormat="1">
      <alignment shrinkToFit="0" wrapText="0"/>
    </xf>
    <xf borderId="44" fillId="0" fontId="1" numFmtId="164" xfId="0" applyAlignment="1" applyBorder="1" applyFont="1" applyNumberFormat="1">
      <alignment shrinkToFit="0" wrapText="0"/>
    </xf>
    <xf borderId="27" fillId="3" fontId="1" numFmtId="164" xfId="0" applyAlignment="1" applyBorder="1" applyFont="1" applyNumberFormat="1">
      <alignment shrinkToFit="0" wrapText="0"/>
    </xf>
    <xf borderId="35" fillId="0" fontId="1" numFmtId="0" xfId="0" applyAlignment="1" applyBorder="1" applyFont="1">
      <alignment shrinkToFit="0" wrapText="0"/>
    </xf>
    <xf borderId="6" fillId="0" fontId="1" numFmtId="0" xfId="0" applyAlignment="1" applyBorder="1" applyFont="1">
      <alignment shrinkToFit="0" wrapText="0"/>
    </xf>
    <xf borderId="9" fillId="0" fontId="1" numFmtId="164" xfId="0" applyAlignment="1" applyBorder="1" applyFont="1" applyNumberFormat="1">
      <alignment shrinkToFit="0" wrapText="0"/>
    </xf>
    <xf borderId="61" fillId="4" fontId="4" numFmtId="164" xfId="0" applyAlignment="1" applyBorder="1" applyFont="1" applyNumberFormat="1">
      <alignment shrinkToFit="0" wrapText="0"/>
    </xf>
    <xf borderId="61" fillId="4" fontId="1" numFmtId="164" xfId="0" applyAlignment="1" applyBorder="1" applyFont="1" applyNumberFormat="1">
      <alignment shrinkToFit="0" wrapText="0"/>
    </xf>
    <xf borderId="9" fillId="4" fontId="4" numFmtId="164" xfId="0" applyAlignment="1" applyBorder="1" applyFont="1" applyNumberFormat="1">
      <alignment shrinkToFit="0" wrapText="0"/>
    </xf>
    <xf borderId="9" fillId="4" fontId="1" numFmtId="164" xfId="0" applyAlignment="1" applyBorder="1" applyFont="1" applyNumberFormat="1">
      <alignment shrinkToFit="0" wrapText="0"/>
    </xf>
    <xf borderId="13" fillId="0" fontId="1" numFmtId="164" xfId="0" applyAlignment="1" applyBorder="1" applyFont="1" applyNumberFormat="1">
      <alignment shrinkToFit="0" wrapText="0"/>
    </xf>
    <xf borderId="3" fillId="4" fontId="4" numFmtId="164" xfId="0" applyAlignment="1" applyBorder="1" applyFont="1" applyNumberFormat="1">
      <alignment shrinkToFit="0" wrapText="0"/>
    </xf>
    <xf borderId="3" fillId="4" fontId="1" numFmtId="164" xfId="0" applyAlignment="1" applyBorder="1" applyFont="1" applyNumberFormat="1">
      <alignment shrinkToFit="0" wrapText="0"/>
    </xf>
    <xf borderId="5" fillId="0" fontId="1" numFmtId="164" xfId="0" applyAlignment="1" applyBorder="1" applyFont="1" applyNumberFormat="1">
      <alignment shrinkToFit="0" wrapText="0"/>
    </xf>
    <xf borderId="3" fillId="0" fontId="1" numFmtId="165" xfId="0" applyAlignment="1" applyBorder="1" applyFont="1" applyNumberFormat="1">
      <alignment shrinkToFit="0" wrapText="0"/>
    </xf>
    <xf borderId="11" fillId="0" fontId="1" numFmtId="0" xfId="0" applyAlignment="1" applyBorder="1" applyFont="1">
      <alignment shrinkToFit="0" wrapText="0"/>
    </xf>
    <xf borderId="5" fillId="5" fontId="4" numFmtId="164" xfId="0" applyAlignment="1" applyBorder="1" applyFont="1" applyNumberFormat="1">
      <alignment shrinkToFit="0" wrapText="0"/>
    </xf>
    <xf borderId="3" fillId="5" fontId="4" numFmtId="164" xfId="0" applyAlignment="1" applyBorder="1" applyFont="1" applyNumberFormat="1">
      <alignment shrinkToFit="0" wrapText="0"/>
    </xf>
    <xf borderId="21" fillId="0" fontId="1" numFmtId="165" xfId="0" applyAlignment="1" applyBorder="1" applyFont="1" applyNumberFormat="1">
      <alignment shrinkToFit="0" wrapText="0"/>
    </xf>
    <xf borderId="30" fillId="0" fontId="3" numFmtId="165" xfId="0" applyAlignment="1" applyBorder="1" applyFont="1" applyNumberFormat="1">
      <alignment shrinkToFit="0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 shrinkToFit="0" wrapText="0"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65.57"/>
    <col customWidth="1" min="2" max="2" width="12.14"/>
    <col customWidth="1" min="3" max="3" width="12.43"/>
    <col customWidth="1" min="4" max="4" width="11.86"/>
    <col customWidth="1" min="5" max="5" width="13.43"/>
    <col customWidth="1" min="6" max="6" width="14.43"/>
    <col customWidth="1" min="7" max="16" width="8.0"/>
  </cols>
  <sheetData>
    <row r="1" ht="18.0" customHeight="1">
      <c r="A1" s="3" t="s">
        <v>0</v>
      </c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1"/>
      <c r="C2" s="1"/>
      <c r="D2" s="1"/>
      <c r="E2" s="1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6" t="s">
        <v>1</v>
      </c>
      <c r="D3" s="1"/>
      <c r="E3" s="1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1"/>
      <c r="B4" s="1"/>
      <c r="C4" s="1"/>
      <c r="D4" s="7"/>
      <c r="E4" s="7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16"/>
      <c r="B5" s="18" t="s">
        <v>15</v>
      </c>
      <c r="C5" s="20"/>
      <c r="D5" s="1"/>
      <c r="E5" s="1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22"/>
      <c r="B6" s="11" t="s">
        <v>26</v>
      </c>
      <c r="C6" s="26" t="s">
        <v>27</v>
      </c>
      <c r="D6" s="1"/>
      <c r="E6" s="1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8" t="s">
        <v>30</v>
      </c>
      <c r="B7" s="30">
        <f t="shared" ref="B7:B9" si="1">C7/12</f>
        <v>15092.935</v>
      </c>
      <c r="C7" s="32">
        <f>'ДЕТАЛИЗАЦИЯ'!B12</f>
        <v>181115.22</v>
      </c>
      <c r="D7" s="34" t="s">
        <v>18</v>
      </c>
      <c r="E7" s="1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36" t="s">
        <v>33</v>
      </c>
      <c r="B8" s="30">
        <f t="shared" si="1"/>
        <v>24901.72414</v>
      </c>
      <c r="C8" s="38">
        <f>'ДЕТАЛИЗАЦИЯ'!B21</f>
        <v>298820.6897</v>
      </c>
      <c r="D8" s="1"/>
      <c r="E8" s="1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36" t="s">
        <v>34</v>
      </c>
      <c r="B9" s="30">
        <f t="shared" si="1"/>
        <v>22637.93103</v>
      </c>
      <c r="C9" s="38">
        <f>'ДЕТАЛИЗАЦИЯ'!B30</f>
        <v>271655.1724</v>
      </c>
      <c r="D9" s="1"/>
      <c r="E9" s="1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36" t="s">
        <v>36</v>
      </c>
      <c r="B10" s="41">
        <v>2537.0</v>
      </c>
      <c r="C10" s="38">
        <f t="shared" ref="C10:C13" si="2">B10*12</f>
        <v>30444</v>
      </c>
      <c r="D10" s="34" t="s">
        <v>18</v>
      </c>
      <c r="E10" s="1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36" t="s">
        <v>38</v>
      </c>
      <c r="B11" s="44">
        <v>125000.0</v>
      </c>
      <c r="C11" s="38">
        <f t="shared" si="2"/>
        <v>1500000</v>
      </c>
      <c r="D11" s="1"/>
      <c r="E11" s="1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36" t="s">
        <v>42</v>
      </c>
      <c r="B12" s="44">
        <v>39000.0</v>
      </c>
      <c r="C12" s="38">
        <f t="shared" si="2"/>
        <v>468000</v>
      </c>
      <c r="D12" s="1"/>
      <c r="E12" s="1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36" t="s">
        <v>43</v>
      </c>
      <c r="B13" s="41">
        <v>8000.0</v>
      </c>
      <c r="C13" s="38">
        <f t="shared" si="2"/>
        <v>96000</v>
      </c>
      <c r="D13" s="1" t="s">
        <v>18</v>
      </c>
      <c r="E13" s="1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36" t="s">
        <v>44</v>
      </c>
      <c r="B14" s="41">
        <f>C14/12</f>
        <v>12000</v>
      </c>
      <c r="C14" s="38">
        <f>12000*12</f>
        <v>144000</v>
      </c>
      <c r="D14" s="1"/>
      <c r="E14" s="1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36" t="s">
        <v>46</v>
      </c>
      <c r="B15" s="41">
        <v>300.0</v>
      </c>
      <c r="C15" s="38">
        <f t="shared" ref="C15:C18" si="3">B15*12</f>
        <v>3600</v>
      </c>
      <c r="D15" s="1"/>
      <c r="E15" s="1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36" t="s">
        <v>47</v>
      </c>
      <c r="B16" s="41">
        <v>120.0</v>
      </c>
      <c r="C16" s="38">
        <f t="shared" si="3"/>
        <v>1440</v>
      </c>
      <c r="D16" s="1"/>
      <c r="E16" s="1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36" t="s">
        <v>49</v>
      </c>
      <c r="B17" s="41">
        <v>1800.0</v>
      </c>
      <c r="C17" s="38">
        <f t="shared" si="3"/>
        <v>21600</v>
      </c>
      <c r="D17" s="1"/>
      <c r="E17" s="1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36" t="s">
        <v>51</v>
      </c>
      <c r="B18" s="41">
        <f>15000+2000+2000+1000+1000+1000+1000</f>
        <v>23000</v>
      </c>
      <c r="C18" s="38">
        <f t="shared" si="3"/>
        <v>276000</v>
      </c>
      <c r="D18" s="1"/>
      <c r="E18" s="1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36" t="s">
        <v>55</v>
      </c>
      <c r="B19" s="41">
        <f t="shared" ref="B19:B20" si="4">C19/12</f>
        <v>37250</v>
      </c>
      <c r="C19" s="38">
        <f>'ДЕТАЛИЗАЦИЯ'!B39</f>
        <v>447000</v>
      </c>
      <c r="D19" s="1"/>
      <c r="E19" s="1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36" t="s">
        <v>57</v>
      </c>
      <c r="B20" s="41">
        <f t="shared" si="4"/>
        <v>20350</v>
      </c>
      <c r="C20" s="38">
        <f>'ДЕТАЛИЗАЦИЯ'!B55</f>
        <v>244200</v>
      </c>
      <c r="D20" s="1"/>
      <c r="E20" s="1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36" t="s">
        <v>60</v>
      </c>
      <c r="B21" s="41">
        <v>2200.0</v>
      </c>
      <c r="C21" s="38">
        <f>B21*12</f>
        <v>26400</v>
      </c>
      <c r="D21" s="1"/>
      <c r="E21" s="1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36" t="s">
        <v>63</v>
      </c>
      <c r="B22" s="41">
        <f>C22/12</f>
        <v>8916.666667</v>
      </c>
      <c r="C22" s="38">
        <f>'ДЕТАЛИЗАЦИЯ'!B48</f>
        <v>107000</v>
      </c>
      <c r="D22" s="1"/>
      <c r="E22" s="1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36" t="s">
        <v>66</v>
      </c>
      <c r="B23" s="44">
        <v>21700.0</v>
      </c>
      <c r="C23" s="38">
        <f>B23*12</f>
        <v>260400</v>
      </c>
      <c r="D23" s="1"/>
      <c r="E23" s="1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56" t="s">
        <v>67</v>
      </c>
      <c r="B24" s="45">
        <f t="shared" ref="B24:C24" si="5">SUM(B7:B23)</f>
        <v>364806.2568</v>
      </c>
      <c r="C24" s="57">
        <f t="shared" si="5"/>
        <v>4377675.082</v>
      </c>
      <c r="D24" s="1"/>
      <c r="E24" s="1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"/>
      <c r="B25" s="34"/>
      <c r="C25" s="34"/>
      <c r="D25" s="1"/>
      <c r="E25" s="1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6" t="s">
        <v>77</v>
      </c>
      <c r="D26" s="7"/>
      <c r="E26" s="7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1"/>
      <c r="B27" s="34"/>
      <c r="C27" s="34"/>
      <c r="D27" s="1"/>
      <c r="E27" s="1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59" t="s">
        <v>78</v>
      </c>
      <c r="B28" s="61">
        <f t="shared" ref="B28:B29" si="6">C28/12</f>
        <v>25025.25</v>
      </c>
      <c r="C28" s="62">
        <v>300303.0</v>
      </c>
      <c r="D28" s="1"/>
      <c r="E28" s="1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64" t="s">
        <v>81</v>
      </c>
      <c r="B29" s="41">
        <f t="shared" si="6"/>
        <v>1250</v>
      </c>
      <c r="C29" s="38">
        <v>15000.0</v>
      </c>
      <c r="D29" s="1"/>
      <c r="E29" s="1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65" t="s">
        <v>84</v>
      </c>
      <c r="B30" s="66">
        <f>D38</f>
        <v>338530</v>
      </c>
      <c r="C30" s="68">
        <f>B30*12</f>
        <v>4062360</v>
      </c>
      <c r="D30" s="1"/>
      <c r="E30" s="1"/>
      <c r="F30" s="4" t="s">
        <v>18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56" t="s">
        <v>67</v>
      </c>
      <c r="B31" s="45">
        <f t="shared" ref="B31:C31" si="7">SUM(B28:B30)</f>
        <v>364805.25</v>
      </c>
      <c r="C31" s="57">
        <f t="shared" si="7"/>
        <v>4377663</v>
      </c>
      <c r="D31" s="1"/>
      <c r="E31" s="1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1"/>
      <c r="B32" s="70"/>
      <c r="C32" s="71"/>
      <c r="D32" s="1"/>
      <c r="E32" s="1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73" t="s">
        <v>91</v>
      </c>
      <c r="B33" s="76"/>
      <c r="C33" s="76"/>
      <c r="D33" s="76"/>
      <c r="E33" s="20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6.25" customHeight="1">
      <c r="A34" s="77"/>
      <c r="B34" s="78" t="s">
        <v>97</v>
      </c>
      <c r="C34" s="79" t="s">
        <v>99</v>
      </c>
      <c r="D34" s="80" t="s">
        <v>101</v>
      </c>
      <c r="E34" s="81" t="s">
        <v>105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83" t="s">
        <v>107</v>
      </c>
      <c r="B35" s="84">
        <v>7450.0</v>
      </c>
      <c r="C35" s="85">
        <v>22.0</v>
      </c>
      <c r="D35" s="30">
        <f t="shared" ref="D35:D37" si="8">B35*C35</f>
        <v>163900</v>
      </c>
      <c r="E35" s="32">
        <f t="shared" ref="E35:E37" si="9">D35*12</f>
        <v>1966800</v>
      </c>
      <c r="F35" s="87" t="s">
        <v>18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2" t="s">
        <v>110</v>
      </c>
      <c r="B36" s="88">
        <v>8717.0</v>
      </c>
      <c r="C36" s="89">
        <v>4.0</v>
      </c>
      <c r="D36" s="41">
        <f t="shared" si="8"/>
        <v>34868</v>
      </c>
      <c r="E36" s="32">
        <f t="shared" si="9"/>
        <v>418416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90" t="s">
        <v>115</v>
      </c>
      <c r="B37" s="91">
        <v>9983.0</v>
      </c>
      <c r="C37" s="92">
        <v>14.0</v>
      </c>
      <c r="D37" s="66">
        <f t="shared" si="8"/>
        <v>139762</v>
      </c>
      <c r="E37" s="93">
        <f t="shared" si="9"/>
        <v>1677144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94" t="s">
        <v>28</v>
      </c>
      <c r="B38" s="95"/>
      <c r="C38" s="97">
        <f t="shared" ref="C38:E38" si="10">SUM(C35:C37)</f>
        <v>40</v>
      </c>
      <c r="D38" s="45">
        <f t="shared" si="10"/>
        <v>338530</v>
      </c>
      <c r="E38" s="57">
        <f t="shared" si="10"/>
        <v>4062360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1"/>
      <c r="B39" s="1"/>
      <c r="C39" s="1"/>
      <c r="D39" s="1"/>
      <c r="E39" s="1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99" t="s">
        <v>131</v>
      </c>
      <c r="B40" s="101"/>
      <c r="C40" s="1"/>
      <c r="D40" s="1"/>
      <c r="E40" s="1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03" t="s">
        <v>133</v>
      </c>
      <c r="B41" s="107">
        <f>SUM(B42)</f>
        <v>6603405</v>
      </c>
      <c r="C41" s="1"/>
      <c r="D41" s="1"/>
      <c r="E41" s="1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109" t="s">
        <v>134</v>
      </c>
      <c r="B42" s="110">
        <v>6603405.0</v>
      </c>
      <c r="C42" s="1"/>
      <c r="D42" s="1"/>
      <c r="E42" s="1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83" t="s">
        <v>135</v>
      </c>
      <c r="B43" s="113">
        <f>SUM(B44:B45)</f>
        <v>6603405</v>
      </c>
      <c r="C43" s="1"/>
      <c r="D43" s="1"/>
      <c r="E43" s="1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46" t="s">
        <v>138</v>
      </c>
      <c r="B44" s="47">
        <v>4755612.0</v>
      </c>
      <c r="C44" s="1"/>
      <c r="D44" s="1"/>
      <c r="E44" s="1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115" t="s">
        <v>139</v>
      </c>
      <c r="B45" s="116">
        <f>B41-B44</f>
        <v>1847793</v>
      </c>
      <c r="C45" s="34" t="s">
        <v>18</v>
      </c>
      <c r="D45" s="1"/>
      <c r="E45" s="1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"/>
      <c r="B46" s="1"/>
      <c r="C46" s="1"/>
      <c r="D46" s="1"/>
      <c r="E46" s="1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"/>
      <c r="B47" s="1"/>
      <c r="C47" s="1"/>
      <c r="D47" s="1"/>
      <c r="E47" s="1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"/>
      <c r="B48" s="1"/>
      <c r="C48" s="1"/>
      <c r="D48" s="1"/>
      <c r="E48" s="1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"/>
      <c r="B49" s="1"/>
      <c r="C49" s="1"/>
      <c r="D49" s="1"/>
      <c r="E49" s="1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"/>
      <c r="B50" s="1"/>
      <c r="C50" s="1"/>
      <c r="D50" s="1"/>
      <c r="E50" s="1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"/>
      <c r="B51" s="1"/>
      <c r="C51" s="1"/>
      <c r="D51" s="1"/>
      <c r="E51" s="1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"/>
      <c r="B52" s="1"/>
      <c r="C52" s="1"/>
      <c r="D52" s="1"/>
      <c r="E52" s="1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"/>
      <c r="B53" s="1"/>
      <c r="C53" s="1"/>
      <c r="D53" s="1"/>
      <c r="E53" s="1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4"/>
      <c r="B54" s="4"/>
      <c r="C54" s="4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A40:B40"/>
    <mergeCell ref="A3:C3"/>
    <mergeCell ref="A26:C26"/>
    <mergeCell ref="B5:C5"/>
    <mergeCell ref="A33:E33"/>
    <mergeCell ref="A1:E1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6.29"/>
    <col customWidth="1" min="2" max="2" width="9.29"/>
    <col customWidth="1" min="3" max="14" width="8.0"/>
  </cols>
  <sheetData>
    <row r="1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9" t="s">
        <v>3</v>
      </c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2" t="s">
        <v>4</v>
      </c>
      <c r="B6" s="15">
        <v>30346.8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2" t="s">
        <v>12</v>
      </c>
      <c r="B7" s="15">
        <v>4000.26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12" t="s">
        <v>13</v>
      </c>
      <c r="B8" s="15">
        <v>1793.22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2" t="s">
        <v>14</v>
      </c>
      <c r="B9" s="15">
        <v>7034.94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2" t="s">
        <v>16</v>
      </c>
      <c r="B10" s="15">
        <f>B11/0.87*0.13</f>
        <v>17932.2</v>
      </c>
      <c r="C10" s="2"/>
      <c r="D10" s="4" t="s">
        <v>18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2" t="s">
        <v>24</v>
      </c>
      <c r="B11" s="15">
        <f>11495*0.87*12</f>
        <v>120007.8</v>
      </c>
      <c r="C11" s="4" t="s">
        <v>18</v>
      </c>
      <c r="D11" s="4" t="s">
        <v>18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24" t="s">
        <v>28</v>
      </c>
      <c r="B12" s="31">
        <f>SUM(B6:B11)</f>
        <v>181115.22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9" t="s">
        <v>32</v>
      </c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2" t="s">
        <v>4</v>
      </c>
      <c r="B15" s="15">
        <f>B6/B11*B20</f>
        <v>50068.96552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2" t="s">
        <v>12</v>
      </c>
      <c r="B16" s="15">
        <f>B7/B11*B20</f>
        <v>6600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2" t="s">
        <v>13</v>
      </c>
      <c r="B17" s="15">
        <f>B8/B11*B20</f>
        <v>2958.62069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2" t="s">
        <v>14</v>
      </c>
      <c r="B18" s="15">
        <f>B9/B11*B20</f>
        <v>11606.89655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2" t="s">
        <v>16</v>
      </c>
      <c r="B19" s="15">
        <f>B20/0.87*0.13</f>
        <v>29586.2069</v>
      </c>
      <c r="C19" s="4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2" t="s">
        <v>35</v>
      </c>
      <c r="B20" s="15">
        <v>198000.0</v>
      </c>
      <c r="C20" s="4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24" t="s">
        <v>28</v>
      </c>
      <c r="B21" s="31">
        <f>SUM(B15:B20)</f>
        <v>298820.6897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9" t="s">
        <v>37</v>
      </c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2" t="s">
        <v>4</v>
      </c>
      <c r="B24" s="15">
        <f>B15/B20*B29</f>
        <v>45517.24138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2" t="s">
        <v>12</v>
      </c>
      <c r="B25" s="15">
        <f>B16/B20*B29</f>
        <v>6000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2" t="s">
        <v>13</v>
      </c>
      <c r="B26" s="15">
        <f>B17/B20*B29</f>
        <v>2689.655172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2" t="s">
        <v>14</v>
      </c>
      <c r="B27" s="15">
        <f>B18/B20*B29</f>
        <v>10551.72414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2" t="s">
        <v>16</v>
      </c>
      <c r="B28" s="15">
        <f>B29/0.87*0.13</f>
        <v>26896.55172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2" t="s">
        <v>39</v>
      </c>
      <c r="B29" s="15">
        <v>180000.0</v>
      </c>
      <c r="C29" s="4" t="s">
        <v>18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24" t="s">
        <v>28</v>
      </c>
      <c r="B30" s="31">
        <f>SUM(B24:B29)</f>
        <v>271655.1724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1"/>
      <c r="B31" s="1" t="s">
        <v>18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9" t="s">
        <v>40</v>
      </c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46" t="s">
        <v>41</v>
      </c>
      <c r="B33" s="47">
        <v>220000.0</v>
      </c>
      <c r="C33" s="2"/>
      <c r="D33" s="2"/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2" t="s">
        <v>48</v>
      </c>
      <c r="B34" s="47">
        <v>0.0</v>
      </c>
      <c r="C34" s="2"/>
      <c r="D34" s="2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2" t="s">
        <v>50</v>
      </c>
      <c r="B35" s="15">
        <v>107000.0</v>
      </c>
      <c r="C35" s="2"/>
      <c r="D35" s="2"/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2" t="s">
        <v>52</v>
      </c>
      <c r="B36" s="15">
        <v>40000.0</v>
      </c>
      <c r="C36" s="2"/>
      <c r="D36" s="2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2" t="s">
        <v>53</v>
      </c>
      <c r="B37" s="47">
        <v>40000.0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2" t="s">
        <v>54</v>
      </c>
      <c r="B38" s="15">
        <v>40000.0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4" t="s">
        <v>28</v>
      </c>
      <c r="B39" s="31">
        <f>SUM(B33:B38)</f>
        <v>447000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9" t="s">
        <v>56</v>
      </c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12" t="s">
        <v>58</v>
      </c>
      <c r="B42" s="47">
        <v>10000.0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2" t="s">
        <v>59</v>
      </c>
      <c r="B43" s="15">
        <v>60000.0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2" t="s">
        <v>61</v>
      </c>
      <c r="B44" s="15">
        <v>3000.0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2" t="s">
        <v>62</v>
      </c>
      <c r="B45" s="15">
        <v>4000.0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2" t="s">
        <v>64</v>
      </c>
      <c r="B46" s="15">
        <v>15000.0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2" t="s">
        <v>65</v>
      </c>
      <c r="B47" s="15">
        <v>15000.0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24" t="s">
        <v>28</v>
      </c>
      <c r="B48" s="31">
        <f>SUM(B42:B47)</f>
        <v>107000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9" t="s">
        <v>68</v>
      </c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2" t="s">
        <v>69</v>
      </c>
      <c r="B51" s="15">
        <v>181200.0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2" t="s">
        <v>70</v>
      </c>
      <c r="B52" s="15">
        <v>33000.0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2" t="s">
        <v>71</v>
      </c>
      <c r="B53" s="15">
        <v>10000.0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46" t="s">
        <v>72</v>
      </c>
      <c r="B54" s="15">
        <v>20000.0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4" t="s">
        <v>28</v>
      </c>
      <c r="B55" s="31">
        <f>SUM(B51:B54)</f>
        <v>244200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4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9.86"/>
    <col customWidth="1" min="2" max="2" width="35.71"/>
    <col customWidth="1" min="3" max="3" width="9.29"/>
    <col customWidth="1" min="4" max="4" width="9.71"/>
    <col customWidth="1" min="5" max="5" width="9.14"/>
    <col customWidth="1" min="6" max="6" width="9.29"/>
    <col customWidth="1" min="7" max="7" width="9.57"/>
    <col customWidth="1" min="8" max="8" width="9.14"/>
    <col customWidth="1" min="9" max="9" width="9.29"/>
    <col customWidth="1" min="10" max="10" width="9.43"/>
    <col customWidth="1" min="11" max="11" width="9.71"/>
    <col customWidth="1" min="12" max="12" width="9.57"/>
    <col customWidth="1" min="13" max="13" width="9.14"/>
    <col customWidth="1" min="14" max="14" width="9.71"/>
    <col customWidth="1" min="15" max="15" width="11.57"/>
    <col customWidth="1" min="16" max="26" width="8.0"/>
  </cols>
  <sheetData>
    <row r="1" ht="13.5" customHeight="1">
      <c r="A1" s="5">
        <v>2018.0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11" t="s">
        <v>2</v>
      </c>
      <c r="B2" s="11" t="s">
        <v>5</v>
      </c>
      <c r="C2" s="13" t="s">
        <v>6</v>
      </c>
      <c r="D2" s="14" t="s">
        <v>7</v>
      </c>
      <c r="E2" s="14" t="s">
        <v>8</v>
      </c>
      <c r="F2" s="14" t="s">
        <v>9</v>
      </c>
      <c r="G2" s="14" t="s">
        <v>10</v>
      </c>
      <c r="H2" s="17" t="s">
        <v>11</v>
      </c>
      <c r="I2" s="19" t="s">
        <v>17</v>
      </c>
      <c r="J2" s="14" t="s">
        <v>19</v>
      </c>
      <c r="K2" s="14" t="s">
        <v>20</v>
      </c>
      <c r="L2" s="14" t="s">
        <v>21</v>
      </c>
      <c r="M2" s="14" t="s">
        <v>22</v>
      </c>
      <c r="N2" s="21" t="s">
        <v>23</v>
      </c>
      <c r="O2" s="23" t="s">
        <v>25</v>
      </c>
      <c r="P2" s="25">
        <v>2019.0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27" t="s">
        <v>29</v>
      </c>
      <c r="B3" s="29" t="s">
        <v>31</v>
      </c>
      <c r="C3" s="33">
        <v>9983.0</v>
      </c>
      <c r="D3" s="35">
        <v>9983.0</v>
      </c>
      <c r="E3" s="35">
        <v>9983.0</v>
      </c>
      <c r="F3" s="35">
        <v>9983.0</v>
      </c>
      <c r="G3" s="35">
        <v>9983.0</v>
      </c>
      <c r="H3" s="37">
        <v>9983.0</v>
      </c>
      <c r="I3" s="39">
        <v>9983.0</v>
      </c>
      <c r="J3" s="40"/>
      <c r="K3" s="35"/>
      <c r="L3" s="35"/>
      <c r="M3" s="42"/>
      <c r="N3" s="43"/>
      <c r="O3" s="45">
        <f t="shared" ref="O3:O42" si="1">SUM(C3:N3)</f>
        <v>69881</v>
      </c>
      <c r="P3" s="34" t="s">
        <v>18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48" t="s">
        <v>45</v>
      </c>
      <c r="B4" s="49" t="s">
        <v>31</v>
      </c>
      <c r="C4" s="50">
        <v>9983.0</v>
      </c>
      <c r="D4" s="51">
        <v>9983.0</v>
      </c>
      <c r="E4" s="51">
        <v>9983.0</v>
      </c>
      <c r="F4" s="51">
        <v>9983.0</v>
      </c>
      <c r="G4" s="51">
        <v>9983.0</v>
      </c>
      <c r="H4" s="47">
        <v>9983.0</v>
      </c>
      <c r="I4" s="52">
        <v>9983.0</v>
      </c>
      <c r="J4" s="53"/>
      <c r="K4" s="51"/>
      <c r="L4" s="51"/>
      <c r="M4" s="54"/>
      <c r="N4" s="55"/>
      <c r="O4" s="45">
        <f t="shared" si="1"/>
        <v>69881</v>
      </c>
      <c r="P4" s="34" t="s">
        <v>18</v>
      </c>
      <c r="Q4" s="2"/>
      <c r="R4" s="1"/>
      <c r="S4" s="2"/>
      <c r="T4" s="2"/>
      <c r="U4" s="2"/>
      <c r="V4" s="2"/>
      <c r="W4" s="2"/>
      <c r="X4" s="2"/>
      <c r="Y4" s="2"/>
      <c r="Z4" s="2"/>
    </row>
    <row r="5" ht="12.75" customHeight="1">
      <c r="A5" s="48" t="s">
        <v>73</v>
      </c>
      <c r="B5" s="49" t="s">
        <v>74</v>
      </c>
      <c r="C5" s="50">
        <v>9983.0</v>
      </c>
      <c r="D5" s="51">
        <v>9983.0</v>
      </c>
      <c r="E5" s="51">
        <v>9983.0</v>
      </c>
      <c r="F5" s="51">
        <v>9983.0</v>
      </c>
      <c r="G5" s="51">
        <v>9983.0</v>
      </c>
      <c r="H5" s="47">
        <v>9983.0</v>
      </c>
      <c r="I5" s="52">
        <v>9983.0</v>
      </c>
      <c r="J5" s="51">
        <v>9983.0</v>
      </c>
      <c r="K5" s="51"/>
      <c r="L5" s="51"/>
      <c r="M5" s="51"/>
      <c r="N5" s="55"/>
      <c r="O5" s="45">
        <f t="shared" si="1"/>
        <v>79864</v>
      </c>
      <c r="P5" s="34" t="s">
        <v>18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48" t="s">
        <v>75</v>
      </c>
      <c r="B6" s="49" t="s">
        <v>76</v>
      </c>
      <c r="C6" s="50">
        <v>9983.0</v>
      </c>
      <c r="D6" s="51">
        <v>9983.0</v>
      </c>
      <c r="E6" s="51">
        <v>9983.0</v>
      </c>
      <c r="F6" s="51">
        <v>9983.0</v>
      </c>
      <c r="G6" s="51">
        <v>9983.0</v>
      </c>
      <c r="H6" s="47">
        <v>9983.0</v>
      </c>
      <c r="I6" s="52">
        <v>9983.0</v>
      </c>
      <c r="J6" s="51">
        <v>9983.0</v>
      </c>
      <c r="K6" s="51">
        <v>9983.0</v>
      </c>
      <c r="L6" s="51">
        <v>9983.0</v>
      </c>
      <c r="M6" s="51">
        <v>9983.0</v>
      </c>
      <c r="N6" s="58">
        <v>9983.0</v>
      </c>
      <c r="O6" s="45">
        <f t="shared" si="1"/>
        <v>119796</v>
      </c>
      <c r="P6" s="60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48" t="s">
        <v>79</v>
      </c>
      <c r="B7" s="49" t="s">
        <v>80</v>
      </c>
      <c r="C7" s="50">
        <v>9983.0</v>
      </c>
      <c r="D7" s="51">
        <v>9983.0</v>
      </c>
      <c r="E7" s="51">
        <v>9983.0</v>
      </c>
      <c r="F7" s="51">
        <v>9983.0</v>
      </c>
      <c r="G7" s="51">
        <v>9983.0</v>
      </c>
      <c r="H7" s="47">
        <v>9983.0</v>
      </c>
      <c r="I7" s="52">
        <v>9983.0</v>
      </c>
      <c r="J7" s="51">
        <v>9983.0</v>
      </c>
      <c r="K7" s="51"/>
      <c r="L7" s="51"/>
      <c r="M7" s="54"/>
      <c r="N7" s="55"/>
      <c r="O7" s="45">
        <f t="shared" si="1"/>
        <v>79864</v>
      </c>
      <c r="P7" s="1"/>
      <c r="Q7" s="63" t="s">
        <v>18</v>
      </c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48" t="s">
        <v>82</v>
      </c>
      <c r="B8" s="49" t="s">
        <v>83</v>
      </c>
      <c r="C8" s="50">
        <v>9983.0</v>
      </c>
      <c r="D8" s="51">
        <v>9983.0</v>
      </c>
      <c r="E8" s="51">
        <v>9983.0</v>
      </c>
      <c r="F8" s="51">
        <v>9983.0</v>
      </c>
      <c r="G8" s="51">
        <v>9983.0</v>
      </c>
      <c r="H8" s="47">
        <v>9983.0</v>
      </c>
      <c r="I8" s="52">
        <v>9983.0</v>
      </c>
      <c r="J8" s="53"/>
      <c r="K8" s="51"/>
      <c r="L8" s="51"/>
      <c r="M8" s="51"/>
      <c r="N8" s="55"/>
      <c r="O8" s="45">
        <f t="shared" si="1"/>
        <v>69881</v>
      </c>
      <c r="P8" s="1"/>
      <c r="Q8" s="63" t="s">
        <v>18</v>
      </c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48" t="s">
        <v>85</v>
      </c>
      <c r="B9" s="49" t="s">
        <v>86</v>
      </c>
      <c r="C9" s="50">
        <v>9983.0</v>
      </c>
      <c r="D9" s="51">
        <v>9983.0</v>
      </c>
      <c r="E9" s="51">
        <v>9983.0</v>
      </c>
      <c r="F9" s="51">
        <v>9983.0</v>
      </c>
      <c r="G9" s="51">
        <v>9983.0</v>
      </c>
      <c r="H9" s="47">
        <v>9983.0</v>
      </c>
      <c r="I9" s="52">
        <v>9983.0</v>
      </c>
      <c r="J9" s="51">
        <v>9983.0</v>
      </c>
      <c r="K9" s="51"/>
      <c r="L9" s="51"/>
      <c r="M9" s="51"/>
      <c r="N9" s="55"/>
      <c r="O9" s="45">
        <f t="shared" si="1"/>
        <v>79864</v>
      </c>
      <c r="P9" s="1"/>
      <c r="Q9" s="63" t="s">
        <v>18</v>
      </c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48" t="s">
        <v>87</v>
      </c>
      <c r="B10" s="49" t="s">
        <v>88</v>
      </c>
      <c r="C10" s="50">
        <v>7450.0</v>
      </c>
      <c r="D10" s="52">
        <v>7450.0</v>
      </c>
      <c r="E10" s="52">
        <v>7450.0</v>
      </c>
      <c r="F10" s="52">
        <v>7450.0</v>
      </c>
      <c r="G10" s="52">
        <v>7450.0</v>
      </c>
      <c r="H10" s="67">
        <v>7450.0</v>
      </c>
      <c r="I10" s="52">
        <v>7450.0</v>
      </c>
      <c r="J10" s="52">
        <v>7450.0</v>
      </c>
      <c r="K10" s="52">
        <v>7450.0</v>
      </c>
      <c r="L10" s="52">
        <v>7450.0</v>
      </c>
      <c r="M10" s="52">
        <v>7450.0</v>
      </c>
      <c r="N10" s="69">
        <v>7450.0</v>
      </c>
      <c r="O10" s="45">
        <f t="shared" si="1"/>
        <v>89400</v>
      </c>
      <c r="P10" s="1"/>
      <c r="Q10" s="63" t="s">
        <v>18</v>
      </c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48" t="s">
        <v>89</v>
      </c>
      <c r="B11" s="49" t="s">
        <v>90</v>
      </c>
      <c r="C11" s="50">
        <v>7450.0</v>
      </c>
      <c r="D11" s="51">
        <v>7450.0</v>
      </c>
      <c r="E11" s="72"/>
      <c r="F11" s="72"/>
      <c r="G11" s="72"/>
      <c r="H11" s="74"/>
      <c r="I11" s="75"/>
      <c r="J11" s="72"/>
      <c r="K11" s="51"/>
      <c r="L11" s="51"/>
      <c r="M11" s="54"/>
      <c r="N11" s="55"/>
      <c r="O11" s="45">
        <f t="shared" si="1"/>
        <v>14900</v>
      </c>
      <c r="P11" s="1"/>
      <c r="Q11" s="63" t="s">
        <v>92</v>
      </c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48" t="s">
        <v>93</v>
      </c>
      <c r="B12" s="49" t="s">
        <v>94</v>
      </c>
      <c r="C12" s="50">
        <v>7450.0</v>
      </c>
      <c r="D12" s="51">
        <v>7450.0</v>
      </c>
      <c r="E12" s="51">
        <v>7450.0</v>
      </c>
      <c r="F12" s="51">
        <v>7450.0</v>
      </c>
      <c r="G12" s="51">
        <v>7450.0</v>
      </c>
      <c r="H12" s="47">
        <v>7450.0</v>
      </c>
      <c r="I12" s="52">
        <v>7450.0</v>
      </c>
      <c r="J12" s="51">
        <v>7450.0</v>
      </c>
      <c r="K12" s="51"/>
      <c r="L12" s="51"/>
      <c r="M12" s="51"/>
      <c r="N12" s="55"/>
      <c r="O12" s="45">
        <f t="shared" si="1"/>
        <v>59600</v>
      </c>
      <c r="P12" s="1"/>
      <c r="Q12" s="63" t="s">
        <v>18</v>
      </c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48" t="s">
        <v>95</v>
      </c>
      <c r="B13" s="49" t="s">
        <v>96</v>
      </c>
      <c r="C13" s="50">
        <v>9983.0</v>
      </c>
      <c r="D13" s="51">
        <v>9983.0</v>
      </c>
      <c r="E13" s="51">
        <v>9983.0</v>
      </c>
      <c r="F13" s="51">
        <v>9983.0</v>
      </c>
      <c r="G13" s="51">
        <v>9983.0</v>
      </c>
      <c r="H13" s="47">
        <v>9983.0</v>
      </c>
      <c r="I13" s="52">
        <v>9983.0</v>
      </c>
      <c r="J13" s="51">
        <v>9983.0</v>
      </c>
      <c r="K13" s="51"/>
      <c r="L13" s="51"/>
      <c r="M13" s="51"/>
      <c r="N13" s="58"/>
      <c r="O13" s="45">
        <f t="shared" si="1"/>
        <v>79864</v>
      </c>
      <c r="P13" s="1"/>
      <c r="Q13" s="63" t="s">
        <v>18</v>
      </c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48" t="s">
        <v>98</v>
      </c>
      <c r="B14" s="49" t="s">
        <v>100</v>
      </c>
      <c r="C14" s="50">
        <v>9983.0</v>
      </c>
      <c r="D14" s="51">
        <v>9983.0</v>
      </c>
      <c r="E14" s="51">
        <v>9983.0</v>
      </c>
      <c r="F14" s="51">
        <v>9983.0</v>
      </c>
      <c r="G14" s="51">
        <v>9983.0</v>
      </c>
      <c r="H14" s="47">
        <v>9983.0</v>
      </c>
      <c r="I14" s="52">
        <v>9983.0</v>
      </c>
      <c r="J14" s="51">
        <v>9983.0</v>
      </c>
      <c r="K14" s="51">
        <v>9983.0</v>
      </c>
      <c r="L14" s="54"/>
      <c r="M14" s="54"/>
      <c r="N14" s="55"/>
      <c r="O14" s="45">
        <f t="shared" si="1"/>
        <v>89847</v>
      </c>
      <c r="P14" s="1"/>
      <c r="Q14" s="4" t="s">
        <v>18</v>
      </c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48" t="s">
        <v>102</v>
      </c>
      <c r="B15" s="49" t="s">
        <v>103</v>
      </c>
      <c r="C15" s="50">
        <v>7450.0</v>
      </c>
      <c r="D15" s="51">
        <v>7450.0</v>
      </c>
      <c r="E15" s="51">
        <v>7450.0</v>
      </c>
      <c r="F15" s="51">
        <v>7450.0</v>
      </c>
      <c r="G15" s="51">
        <v>7450.0</v>
      </c>
      <c r="H15" s="47">
        <v>7450.0</v>
      </c>
      <c r="I15" s="52">
        <v>7450.0</v>
      </c>
      <c r="J15" s="51">
        <v>7450.0</v>
      </c>
      <c r="K15" s="51"/>
      <c r="L15" s="51"/>
      <c r="M15" s="51"/>
      <c r="N15" s="58"/>
      <c r="O15" s="45">
        <f t="shared" si="1"/>
        <v>59600</v>
      </c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48" t="s">
        <v>104</v>
      </c>
      <c r="B16" s="49" t="s">
        <v>106</v>
      </c>
      <c r="C16" s="50">
        <v>7450.0</v>
      </c>
      <c r="D16" s="51">
        <v>7450.0</v>
      </c>
      <c r="E16" s="51">
        <v>7450.0</v>
      </c>
      <c r="F16" s="51">
        <v>7450.0</v>
      </c>
      <c r="G16" s="53"/>
      <c r="H16" s="82"/>
      <c r="I16" s="86"/>
      <c r="J16" s="53"/>
      <c r="K16" s="51"/>
      <c r="L16" s="51"/>
      <c r="M16" s="54"/>
      <c r="N16" s="55"/>
      <c r="O16" s="45">
        <f t="shared" si="1"/>
        <v>29800</v>
      </c>
      <c r="P16" s="1"/>
      <c r="Q16" s="4" t="s">
        <v>18</v>
      </c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48" t="s">
        <v>108</v>
      </c>
      <c r="B17" s="49" t="s">
        <v>109</v>
      </c>
      <c r="C17" s="50">
        <v>9983.0</v>
      </c>
      <c r="D17" s="51">
        <v>9983.0</v>
      </c>
      <c r="E17" s="51">
        <v>9983.0</v>
      </c>
      <c r="F17" s="51">
        <v>9983.0</v>
      </c>
      <c r="G17" s="51">
        <v>9983.0</v>
      </c>
      <c r="H17" s="47">
        <v>9983.0</v>
      </c>
      <c r="I17" s="52">
        <v>9983.0</v>
      </c>
      <c r="J17" s="51">
        <v>9983.0</v>
      </c>
      <c r="K17" s="51"/>
      <c r="L17" s="51"/>
      <c r="M17" s="51"/>
      <c r="N17" s="58"/>
      <c r="O17" s="45">
        <f t="shared" si="1"/>
        <v>79864</v>
      </c>
      <c r="P17" s="1"/>
      <c r="Q17" s="4" t="s">
        <v>18</v>
      </c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48" t="s">
        <v>111</v>
      </c>
      <c r="B18" s="49" t="s">
        <v>112</v>
      </c>
      <c r="C18" s="50">
        <v>7450.0</v>
      </c>
      <c r="D18" s="51">
        <v>7450.0</v>
      </c>
      <c r="E18" s="51">
        <v>7450.0</v>
      </c>
      <c r="F18" s="51">
        <v>7450.0</v>
      </c>
      <c r="G18" s="51">
        <v>7450.0</v>
      </c>
      <c r="H18" s="47">
        <v>7450.0</v>
      </c>
      <c r="I18" s="52">
        <v>7450.0</v>
      </c>
      <c r="J18" s="51">
        <v>7450.0</v>
      </c>
      <c r="K18" s="51"/>
      <c r="L18" s="51"/>
      <c r="M18" s="51"/>
      <c r="N18" s="55"/>
      <c r="O18" s="45">
        <f t="shared" si="1"/>
        <v>59600</v>
      </c>
      <c r="P18" s="1"/>
      <c r="Q18" s="4" t="s">
        <v>18</v>
      </c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48" t="s">
        <v>113</v>
      </c>
      <c r="B19" s="49" t="s">
        <v>114</v>
      </c>
      <c r="C19" s="50">
        <v>9983.0</v>
      </c>
      <c r="D19" s="51">
        <v>9983.0</v>
      </c>
      <c r="E19" s="51">
        <v>9983.0</v>
      </c>
      <c r="F19" s="51">
        <v>9983.0</v>
      </c>
      <c r="G19" s="51">
        <v>9983.0</v>
      </c>
      <c r="H19" s="47">
        <v>9983.0</v>
      </c>
      <c r="I19" s="52">
        <v>9983.0</v>
      </c>
      <c r="J19" s="51">
        <v>9983.0</v>
      </c>
      <c r="K19" s="51"/>
      <c r="L19" s="51"/>
      <c r="M19" s="51"/>
      <c r="N19" s="55"/>
      <c r="O19" s="45">
        <f t="shared" si="1"/>
        <v>79864</v>
      </c>
      <c r="P19" s="1"/>
      <c r="Q19" s="4" t="s">
        <v>18</v>
      </c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48" t="s">
        <v>116</v>
      </c>
      <c r="B20" s="49" t="s">
        <v>117</v>
      </c>
      <c r="C20" s="50">
        <v>7450.0</v>
      </c>
      <c r="D20" s="51">
        <v>7450.0</v>
      </c>
      <c r="E20" s="51">
        <v>7450.0</v>
      </c>
      <c r="F20" s="51">
        <v>7450.0</v>
      </c>
      <c r="G20" s="51">
        <v>7450.0</v>
      </c>
      <c r="H20" s="47">
        <v>7450.0</v>
      </c>
      <c r="I20" s="52">
        <v>7450.0</v>
      </c>
      <c r="J20" s="51">
        <v>7450.0</v>
      </c>
      <c r="K20" s="51"/>
      <c r="L20" s="51"/>
      <c r="M20" s="51"/>
      <c r="N20" s="55"/>
      <c r="O20" s="45">
        <f t="shared" si="1"/>
        <v>59600</v>
      </c>
      <c r="P20" s="1"/>
      <c r="Q20" s="63" t="s">
        <v>18</v>
      </c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48" t="s">
        <v>118</v>
      </c>
      <c r="B21" s="49" t="s">
        <v>119</v>
      </c>
      <c r="C21" s="50">
        <v>9983.0</v>
      </c>
      <c r="D21" s="51">
        <v>9983.0</v>
      </c>
      <c r="E21" s="51">
        <v>9983.0</v>
      </c>
      <c r="F21" s="51">
        <v>9983.0</v>
      </c>
      <c r="G21" s="51">
        <v>9983.0</v>
      </c>
      <c r="H21" s="47">
        <v>9983.0</v>
      </c>
      <c r="I21" s="52">
        <v>9983.0</v>
      </c>
      <c r="J21" s="51">
        <v>9983.0</v>
      </c>
      <c r="K21" s="51"/>
      <c r="L21" s="51"/>
      <c r="M21" s="51"/>
      <c r="N21" s="55"/>
      <c r="O21" s="45">
        <f t="shared" si="1"/>
        <v>79864</v>
      </c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48" t="s">
        <v>120</v>
      </c>
      <c r="B22" s="49" t="s">
        <v>121</v>
      </c>
      <c r="C22" s="50">
        <v>7450.0</v>
      </c>
      <c r="D22" s="51">
        <v>7450.0</v>
      </c>
      <c r="E22" s="51">
        <v>7450.0</v>
      </c>
      <c r="F22" s="51">
        <v>7450.0</v>
      </c>
      <c r="G22" s="51">
        <v>7450.0</v>
      </c>
      <c r="H22" s="74"/>
      <c r="I22" s="86"/>
      <c r="J22" s="53"/>
      <c r="K22" s="51"/>
      <c r="L22" s="54"/>
      <c r="M22" s="54"/>
      <c r="N22" s="55"/>
      <c r="O22" s="45">
        <f t="shared" si="1"/>
        <v>37250</v>
      </c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48" t="s">
        <v>122</v>
      </c>
      <c r="B23" s="49" t="s">
        <v>123</v>
      </c>
      <c r="C23" s="50">
        <v>7450.0</v>
      </c>
      <c r="D23" s="51">
        <v>7450.0</v>
      </c>
      <c r="E23" s="51">
        <v>7450.0</v>
      </c>
      <c r="F23" s="51">
        <v>7450.0</v>
      </c>
      <c r="G23" s="51">
        <v>7450.0</v>
      </c>
      <c r="H23" s="74"/>
      <c r="I23" s="75"/>
      <c r="J23" s="72"/>
      <c r="K23" s="54"/>
      <c r="L23" s="54"/>
      <c r="M23" s="54"/>
      <c r="N23" s="55"/>
      <c r="O23" s="45">
        <f t="shared" si="1"/>
        <v>37250</v>
      </c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48" t="s">
        <v>124</v>
      </c>
      <c r="B24" s="49" t="s">
        <v>125</v>
      </c>
      <c r="C24" s="50">
        <v>7450.0</v>
      </c>
      <c r="D24" s="51">
        <v>7450.0</v>
      </c>
      <c r="E24" s="51">
        <v>7450.0</v>
      </c>
      <c r="F24" s="51">
        <v>7450.0</v>
      </c>
      <c r="G24" s="72"/>
      <c r="H24" s="74"/>
      <c r="I24" s="75"/>
      <c r="J24" s="72"/>
      <c r="K24" s="51"/>
      <c r="L24" s="54"/>
      <c r="M24" s="54"/>
      <c r="N24" s="55"/>
      <c r="O24" s="45">
        <f t="shared" si="1"/>
        <v>29800</v>
      </c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48" t="s">
        <v>126</v>
      </c>
      <c r="B25" s="49" t="s">
        <v>127</v>
      </c>
      <c r="C25" s="50">
        <v>7450.0</v>
      </c>
      <c r="D25" s="51">
        <v>7450.0</v>
      </c>
      <c r="E25" s="51">
        <v>7450.0</v>
      </c>
      <c r="F25" s="51">
        <v>7450.0</v>
      </c>
      <c r="G25" s="51">
        <v>7450.0</v>
      </c>
      <c r="H25" s="47">
        <v>7450.0</v>
      </c>
      <c r="I25" s="52">
        <v>7450.0</v>
      </c>
      <c r="J25" s="51">
        <v>7450.0</v>
      </c>
      <c r="K25" s="51">
        <v>7450.0</v>
      </c>
      <c r="L25" s="51"/>
      <c r="M25" s="51"/>
      <c r="N25" s="55"/>
      <c r="O25" s="45">
        <f t="shared" si="1"/>
        <v>67050</v>
      </c>
      <c r="P25" s="1"/>
      <c r="Q25" s="2"/>
      <c r="R25" s="2"/>
      <c r="S25" s="2"/>
      <c r="T25" s="96"/>
      <c r="U25" s="2"/>
      <c r="V25" s="2"/>
      <c r="W25" s="2"/>
      <c r="X25" s="2"/>
      <c r="Y25" s="2"/>
      <c r="Z25" s="2"/>
    </row>
    <row r="26" ht="12.75" customHeight="1">
      <c r="A26" s="48" t="s">
        <v>128</v>
      </c>
      <c r="B26" s="49" t="s">
        <v>129</v>
      </c>
      <c r="C26" s="50">
        <v>9983.0</v>
      </c>
      <c r="D26" s="51">
        <v>9983.0</v>
      </c>
      <c r="E26" s="51">
        <v>9983.0</v>
      </c>
      <c r="F26" s="51">
        <v>9983.0</v>
      </c>
      <c r="G26" s="51">
        <v>9983.0</v>
      </c>
      <c r="H26" s="47">
        <v>9983.0</v>
      </c>
      <c r="I26" s="52">
        <v>9983.0</v>
      </c>
      <c r="J26" s="51">
        <v>9983.0</v>
      </c>
      <c r="K26" s="51"/>
      <c r="L26" s="51"/>
      <c r="M26" s="54"/>
      <c r="N26" s="55"/>
      <c r="O26" s="45">
        <f t="shared" si="1"/>
        <v>79864</v>
      </c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98" t="s">
        <v>130</v>
      </c>
      <c r="B27" s="100" t="s">
        <v>132</v>
      </c>
      <c r="C27" s="102">
        <v>8717.0</v>
      </c>
      <c r="D27" s="104">
        <v>8717.0</v>
      </c>
      <c r="E27" s="104">
        <v>8717.0</v>
      </c>
      <c r="F27" s="104">
        <v>8717.0</v>
      </c>
      <c r="G27" s="104">
        <v>8717.0</v>
      </c>
      <c r="H27" s="105">
        <v>8717.0</v>
      </c>
      <c r="I27" s="106">
        <v>8717.0</v>
      </c>
      <c r="J27" s="104">
        <v>8717.0</v>
      </c>
      <c r="K27" s="104"/>
      <c r="L27" s="104"/>
      <c r="M27" s="104"/>
      <c r="N27" s="108"/>
      <c r="O27" s="111">
        <f t="shared" si="1"/>
        <v>69736</v>
      </c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48" t="s">
        <v>136</v>
      </c>
      <c r="B28" s="112" t="s">
        <v>137</v>
      </c>
      <c r="C28" s="50">
        <v>8717.0</v>
      </c>
      <c r="D28" s="51">
        <v>8717.0</v>
      </c>
      <c r="E28" s="51">
        <v>8717.0</v>
      </c>
      <c r="F28" s="51">
        <v>8717.0</v>
      </c>
      <c r="G28" s="51">
        <v>8717.0</v>
      </c>
      <c r="H28" s="47">
        <v>8717.0</v>
      </c>
      <c r="I28" s="114">
        <v>8717.0</v>
      </c>
      <c r="J28" s="51">
        <v>8717.0</v>
      </c>
      <c r="K28" s="51"/>
      <c r="L28" s="51"/>
      <c r="M28" s="51"/>
      <c r="N28" s="55"/>
      <c r="O28" s="45">
        <f t="shared" si="1"/>
        <v>69736</v>
      </c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48" t="s">
        <v>140</v>
      </c>
      <c r="B29" s="49" t="s">
        <v>141</v>
      </c>
      <c r="C29" s="50">
        <v>7450.0</v>
      </c>
      <c r="D29" s="51">
        <v>7450.0</v>
      </c>
      <c r="E29" s="51">
        <v>7450.0</v>
      </c>
      <c r="F29" s="51">
        <v>7450.0</v>
      </c>
      <c r="G29" s="51">
        <v>7450.0</v>
      </c>
      <c r="H29" s="47">
        <v>7450.0</v>
      </c>
      <c r="I29" s="52">
        <v>7450.0</v>
      </c>
      <c r="J29" s="51">
        <v>7450.0</v>
      </c>
      <c r="K29" s="51"/>
      <c r="L29" s="51"/>
      <c r="M29" s="51"/>
      <c r="N29" s="55"/>
      <c r="O29" s="45">
        <f t="shared" si="1"/>
        <v>59600</v>
      </c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48" t="s">
        <v>142</v>
      </c>
      <c r="B30" s="49" t="s">
        <v>143</v>
      </c>
      <c r="C30" s="50">
        <v>7450.0</v>
      </c>
      <c r="D30" s="51">
        <v>7450.0</v>
      </c>
      <c r="E30" s="51">
        <v>7450.0</v>
      </c>
      <c r="F30" s="51">
        <v>7450.0</v>
      </c>
      <c r="G30" s="51">
        <v>7450.0</v>
      </c>
      <c r="H30" s="47">
        <v>7450.0</v>
      </c>
      <c r="I30" s="52">
        <v>7450.0</v>
      </c>
      <c r="J30" s="51">
        <v>7450.0</v>
      </c>
      <c r="K30" s="51">
        <v>7450.0</v>
      </c>
      <c r="L30" s="51">
        <v>7450.0</v>
      </c>
      <c r="M30" s="117">
        <v>5027.0</v>
      </c>
      <c r="N30" s="58"/>
      <c r="O30" s="45">
        <f t="shared" si="1"/>
        <v>79527</v>
      </c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48" t="s">
        <v>144</v>
      </c>
      <c r="B31" s="49" t="s">
        <v>129</v>
      </c>
      <c r="C31" s="50">
        <v>7450.0</v>
      </c>
      <c r="D31" s="51">
        <v>7450.0</v>
      </c>
      <c r="E31" s="51">
        <v>7450.0</v>
      </c>
      <c r="F31" s="51">
        <v>7450.0</v>
      </c>
      <c r="G31" s="51">
        <v>7450.0</v>
      </c>
      <c r="H31" s="47">
        <v>7450.0</v>
      </c>
      <c r="I31" s="52">
        <v>7450.0</v>
      </c>
      <c r="J31" s="51">
        <v>7450.0</v>
      </c>
      <c r="K31" s="51"/>
      <c r="L31" s="51"/>
      <c r="M31" s="54"/>
      <c r="N31" s="55"/>
      <c r="O31" s="45">
        <f t="shared" si="1"/>
        <v>59600</v>
      </c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48" t="s">
        <v>145</v>
      </c>
      <c r="B32" s="49" t="s">
        <v>146</v>
      </c>
      <c r="C32" s="50">
        <v>7450.0</v>
      </c>
      <c r="D32" s="51">
        <v>7450.0</v>
      </c>
      <c r="E32" s="51">
        <v>7450.0</v>
      </c>
      <c r="F32" s="51">
        <v>7450.0</v>
      </c>
      <c r="G32" s="51">
        <v>7450.0</v>
      </c>
      <c r="H32" s="47">
        <v>7450.0</v>
      </c>
      <c r="I32" s="52">
        <v>7450.0</v>
      </c>
      <c r="J32" s="51">
        <v>7450.0</v>
      </c>
      <c r="K32" s="51"/>
      <c r="L32" s="51"/>
      <c r="M32" s="51"/>
      <c r="N32" s="55"/>
      <c r="O32" s="45">
        <f t="shared" si="1"/>
        <v>59600</v>
      </c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48" t="s">
        <v>147</v>
      </c>
      <c r="B33" s="49" t="s">
        <v>148</v>
      </c>
      <c r="C33" s="50">
        <v>7450.0</v>
      </c>
      <c r="D33" s="51">
        <v>7450.0</v>
      </c>
      <c r="E33" s="51">
        <v>7450.0</v>
      </c>
      <c r="F33" s="51">
        <v>7450.0</v>
      </c>
      <c r="G33" s="51">
        <v>7450.0</v>
      </c>
      <c r="H33" s="47">
        <v>7450.0</v>
      </c>
      <c r="I33" s="52">
        <v>7450.0</v>
      </c>
      <c r="J33" s="51">
        <v>7450.0</v>
      </c>
      <c r="K33" s="51"/>
      <c r="L33" s="51"/>
      <c r="M33" s="51"/>
      <c r="N33" s="58"/>
      <c r="O33" s="45">
        <f t="shared" si="1"/>
        <v>59600</v>
      </c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48" t="s">
        <v>149</v>
      </c>
      <c r="B34" s="49" t="s">
        <v>150</v>
      </c>
      <c r="C34" s="50">
        <v>7450.0</v>
      </c>
      <c r="D34" s="51">
        <v>7450.0</v>
      </c>
      <c r="E34" s="51">
        <v>7450.0</v>
      </c>
      <c r="F34" s="51">
        <v>7450.0</v>
      </c>
      <c r="G34" s="51">
        <v>7450.0</v>
      </c>
      <c r="H34" s="47">
        <v>7450.0</v>
      </c>
      <c r="I34" s="52">
        <v>7450.0</v>
      </c>
      <c r="J34" s="51">
        <v>7450.0</v>
      </c>
      <c r="K34" s="51"/>
      <c r="L34" s="51"/>
      <c r="M34" s="51"/>
      <c r="N34" s="55"/>
      <c r="O34" s="45">
        <f t="shared" si="1"/>
        <v>59600</v>
      </c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48" t="s">
        <v>151</v>
      </c>
      <c r="B35" s="49" t="s">
        <v>152</v>
      </c>
      <c r="C35" s="50">
        <v>7450.0</v>
      </c>
      <c r="D35" s="51">
        <v>7450.0</v>
      </c>
      <c r="E35" s="51">
        <v>7450.0</v>
      </c>
      <c r="F35" s="51">
        <v>7450.0</v>
      </c>
      <c r="G35" s="51">
        <v>7450.0</v>
      </c>
      <c r="H35" s="47">
        <v>7450.0</v>
      </c>
      <c r="I35" s="52">
        <v>7450.0</v>
      </c>
      <c r="J35" s="51">
        <v>7450.0</v>
      </c>
      <c r="K35" s="51"/>
      <c r="L35" s="51"/>
      <c r="M35" s="51"/>
      <c r="N35" s="58"/>
      <c r="O35" s="45">
        <f t="shared" si="1"/>
        <v>59600</v>
      </c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48" t="s">
        <v>153</v>
      </c>
      <c r="B36" s="49" t="s">
        <v>154</v>
      </c>
      <c r="C36" s="50">
        <v>9983.0</v>
      </c>
      <c r="D36" s="51">
        <v>9983.0</v>
      </c>
      <c r="E36" s="51">
        <v>9983.0</v>
      </c>
      <c r="F36" s="51">
        <v>9983.0</v>
      </c>
      <c r="G36" s="51">
        <v>9983.0</v>
      </c>
      <c r="H36" s="47">
        <v>9983.0</v>
      </c>
      <c r="I36" s="52">
        <v>9983.0</v>
      </c>
      <c r="J36" s="51">
        <v>9983.0</v>
      </c>
      <c r="K36" s="51"/>
      <c r="L36" s="51"/>
      <c r="M36" s="51"/>
      <c r="N36" s="55"/>
      <c r="O36" s="45">
        <f t="shared" si="1"/>
        <v>79864</v>
      </c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48" t="s">
        <v>155</v>
      </c>
      <c r="B37" s="49" t="s">
        <v>156</v>
      </c>
      <c r="C37" s="50">
        <v>7450.0</v>
      </c>
      <c r="D37" s="51">
        <v>7450.0</v>
      </c>
      <c r="E37" s="51">
        <v>7450.0</v>
      </c>
      <c r="F37" s="51">
        <v>7450.0</v>
      </c>
      <c r="G37" s="51">
        <v>7450.0</v>
      </c>
      <c r="H37" s="47">
        <v>7450.0</v>
      </c>
      <c r="I37" s="52">
        <v>7450.0</v>
      </c>
      <c r="J37" s="51">
        <v>7450.0</v>
      </c>
      <c r="K37" s="51"/>
      <c r="L37" s="51"/>
      <c r="M37" s="51"/>
      <c r="N37" s="55"/>
      <c r="O37" s="45">
        <f t="shared" si="1"/>
        <v>59600</v>
      </c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48" t="s">
        <v>157</v>
      </c>
      <c r="B38" s="49" t="s">
        <v>158</v>
      </c>
      <c r="C38" s="50">
        <v>8717.0</v>
      </c>
      <c r="D38" s="51">
        <v>8717.0</v>
      </c>
      <c r="E38" s="51">
        <v>8717.0</v>
      </c>
      <c r="F38" s="51">
        <v>8717.0</v>
      </c>
      <c r="G38" s="51">
        <v>8717.0</v>
      </c>
      <c r="H38" s="47">
        <v>8717.0</v>
      </c>
      <c r="I38" s="52">
        <v>8717.0</v>
      </c>
      <c r="J38" s="51">
        <v>8717.0</v>
      </c>
      <c r="K38" s="51"/>
      <c r="L38" s="51"/>
      <c r="M38" s="51"/>
      <c r="N38" s="58"/>
      <c r="O38" s="45">
        <f t="shared" si="1"/>
        <v>69736</v>
      </c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48" t="s">
        <v>159</v>
      </c>
      <c r="B39" s="49" t="s">
        <v>160</v>
      </c>
      <c r="C39" s="50">
        <v>8717.0</v>
      </c>
      <c r="D39" s="51">
        <v>8717.0</v>
      </c>
      <c r="E39" s="51">
        <v>8717.0</v>
      </c>
      <c r="F39" s="51">
        <v>8717.0</v>
      </c>
      <c r="G39" s="51">
        <v>8717.0</v>
      </c>
      <c r="H39" s="47">
        <v>8717.0</v>
      </c>
      <c r="I39" s="52">
        <v>8717.0</v>
      </c>
      <c r="J39" s="51">
        <v>8717.0</v>
      </c>
      <c r="K39" s="51">
        <v>8717.0</v>
      </c>
      <c r="L39" s="51"/>
      <c r="M39" s="51"/>
      <c r="N39" s="55"/>
      <c r="O39" s="45">
        <f t="shared" si="1"/>
        <v>78453</v>
      </c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48" t="s">
        <v>161</v>
      </c>
      <c r="B40" s="49" t="s">
        <v>162</v>
      </c>
      <c r="C40" s="50">
        <v>7450.0</v>
      </c>
      <c r="D40" s="51">
        <v>7450.0</v>
      </c>
      <c r="E40" s="51">
        <v>7450.0</v>
      </c>
      <c r="F40" s="51">
        <v>7450.0</v>
      </c>
      <c r="G40" s="53"/>
      <c r="H40" s="82"/>
      <c r="I40" s="118"/>
      <c r="J40" s="72"/>
      <c r="K40" s="54"/>
      <c r="L40" s="54"/>
      <c r="M40" s="54"/>
      <c r="N40" s="55"/>
      <c r="O40" s="45">
        <f t="shared" si="1"/>
        <v>29800</v>
      </c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48" t="s">
        <v>163</v>
      </c>
      <c r="B41" s="49" t="s">
        <v>164</v>
      </c>
      <c r="C41" s="50">
        <v>7450.0</v>
      </c>
      <c r="D41" s="51">
        <v>7450.0</v>
      </c>
      <c r="E41" s="51">
        <v>7450.0</v>
      </c>
      <c r="F41" s="51">
        <v>7450.0</v>
      </c>
      <c r="G41" s="51">
        <v>7450.0</v>
      </c>
      <c r="H41" s="47">
        <v>7450.0</v>
      </c>
      <c r="I41" s="52">
        <v>7450.0</v>
      </c>
      <c r="J41" s="51">
        <v>7450.0</v>
      </c>
      <c r="K41" s="51"/>
      <c r="L41" s="51"/>
      <c r="M41" s="51"/>
      <c r="N41" s="58"/>
      <c r="O41" s="45">
        <f t="shared" si="1"/>
        <v>59600</v>
      </c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119" t="s">
        <v>165</v>
      </c>
      <c r="B42" s="120" t="s">
        <v>166</v>
      </c>
      <c r="C42" s="121">
        <v>7450.0</v>
      </c>
      <c r="D42" s="122">
        <v>7450.0</v>
      </c>
      <c r="E42" s="122">
        <v>7450.0</v>
      </c>
      <c r="F42" s="122">
        <v>7450.0</v>
      </c>
      <c r="G42" s="122">
        <v>7450.0</v>
      </c>
      <c r="H42" s="123">
        <v>7450.0</v>
      </c>
      <c r="I42" s="124">
        <v>7450.0</v>
      </c>
      <c r="J42" s="125"/>
      <c r="K42" s="122"/>
      <c r="L42" s="122"/>
      <c r="M42" s="122"/>
      <c r="N42" s="126"/>
      <c r="O42" s="45">
        <f t="shared" si="1"/>
        <v>52150</v>
      </c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127"/>
      <c r="B43" s="128" t="s">
        <v>67</v>
      </c>
      <c r="C43" s="45">
        <f t="shared" ref="C43:O43" si="2">SUM(C3:C42)</f>
        <v>338530</v>
      </c>
      <c r="D43" s="45">
        <f t="shared" si="2"/>
        <v>338530</v>
      </c>
      <c r="E43" s="45">
        <f t="shared" si="2"/>
        <v>331080</v>
      </c>
      <c r="F43" s="45">
        <f t="shared" si="2"/>
        <v>331080</v>
      </c>
      <c r="G43" s="45">
        <f t="shared" si="2"/>
        <v>308730</v>
      </c>
      <c r="H43" s="45">
        <f t="shared" si="2"/>
        <v>293830</v>
      </c>
      <c r="I43" s="57">
        <f t="shared" si="2"/>
        <v>293830</v>
      </c>
      <c r="J43" s="45">
        <f t="shared" si="2"/>
        <v>256431</v>
      </c>
      <c r="K43" s="45">
        <f t="shared" si="2"/>
        <v>51033</v>
      </c>
      <c r="L43" s="45">
        <f t="shared" si="2"/>
        <v>24883</v>
      </c>
      <c r="M43" s="45">
        <f t="shared" si="2"/>
        <v>22460</v>
      </c>
      <c r="N43" s="129">
        <f t="shared" si="2"/>
        <v>17433</v>
      </c>
      <c r="O43" s="45">
        <f t="shared" si="2"/>
        <v>2607850</v>
      </c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"/>
      <c r="B45" s="130"/>
      <c r="C45" s="34" t="s">
        <v>18</v>
      </c>
      <c r="D45" s="1"/>
      <c r="E45" s="1"/>
      <c r="F45" s="1"/>
      <c r="G45" s="34" t="s">
        <v>18</v>
      </c>
      <c r="H45" s="1"/>
      <c r="I45" s="34" t="s">
        <v>18</v>
      </c>
      <c r="J45" s="34" t="s">
        <v>18</v>
      </c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"/>
      <c r="B46" s="1"/>
      <c r="C46" s="1" t="s">
        <v>18</v>
      </c>
      <c r="D46" s="1" t="s">
        <v>18</v>
      </c>
      <c r="E46" s="3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"/>
      <c r="B47" s="1"/>
      <c r="C47" s="34" t="s">
        <v>18</v>
      </c>
      <c r="D47" s="1"/>
      <c r="E47" s="1"/>
      <c r="F47" s="34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"/>
      <c r="B48" s="1"/>
      <c r="C48" s="1" t="s">
        <v>18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"/>
      <c r="B49" s="1"/>
      <c r="C49" s="34" t="s">
        <v>18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4"/>
      <c r="B53" s="4"/>
      <c r="C53" s="4"/>
      <c r="D53" s="2"/>
      <c r="E53" s="2"/>
      <c r="F53" s="2"/>
      <c r="G53" s="2"/>
      <c r="H53" s="2"/>
      <c r="I53" s="2"/>
      <c r="J53" s="4"/>
      <c r="K53" s="2"/>
      <c r="L53" s="2"/>
      <c r="M53" s="2"/>
      <c r="N53" s="2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conditionalFormatting sqref="R4">
    <cfRule type="notContainsBlanks" dxfId="0" priority="1">
      <formula>LEN(TRIM(R4))&gt;0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10.14"/>
    <col customWidth="1" min="2" max="2" width="35.43"/>
    <col customWidth="1" min="3" max="3" width="7.14"/>
    <col customWidth="1" min="4" max="4" width="10.29"/>
    <col customWidth="1" min="5" max="5" width="8.71"/>
    <col customWidth="1" min="6" max="6" width="10.71"/>
    <col customWidth="1" min="7" max="7" width="7.43"/>
    <col customWidth="1" min="8" max="8" width="10.86"/>
    <col customWidth="1" min="9" max="9" width="8.29"/>
    <col customWidth="1" min="10" max="10" width="9.86"/>
    <col customWidth="1" min="11" max="11" width="10.29"/>
    <col customWidth="1" min="12" max="12" width="9.57"/>
    <col customWidth="1" min="13" max="13" width="7.0"/>
    <col customWidth="1" min="14" max="14" width="10.86"/>
    <col customWidth="1" min="15" max="15" width="8.29"/>
    <col customWidth="1" min="16" max="16" width="13.0"/>
    <col customWidth="1" min="17" max="17" width="7.57"/>
    <col customWidth="1" min="18" max="18" width="10.14"/>
    <col customWidth="1" min="19" max="19" width="8.43"/>
    <col customWidth="1" min="20" max="20" width="11.43"/>
    <col customWidth="1" min="21" max="22" width="11.14"/>
    <col customWidth="1" min="23" max="23" width="6.86"/>
    <col customWidth="1" min="24" max="24" width="10.29"/>
    <col customWidth="1" min="25" max="25" width="7.29"/>
    <col customWidth="1" min="26" max="26" width="12.43"/>
    <col customWidth="1" min="27" max="27" width="6.71"/>
    <col customWidth="1" min="28" max="28" width="10.0"/>
    <col customWidth="1" min="29" max="29" width="7.71"/>
    <col customWidth="1" min="30" max="30" width="12.86"/>
    <col customWidth="1" min="31" max="31" width="11.86"/>
    <col customWidth="1" min="32" max="32" width="10.43"/>
    <col customWidth="1" min="33" max="33" width="6.43"/>
    <col customWidth="1" min="34" max="34" width="9.57"/>
    <col customWidth="1" min="35" max="35" width="7.14"/>
    <col customWidth="1" min="36" max="36" width="11.86"/>
    <col customWidth="1" min="37" max="37" width="6.57"/>
    <col customWidth="1" min="38" max="38" width="9.86"/>
    <col customWidth="1" min="39" max="39" width="8.14"/>
    <col customWidth="1" min="40" max="40" width="11.14"/>
    <col customWidth="1" min="41" max="41" width="13.0"/>
    <col customWidth="1" min="42" max="42" width="10.0"/>
    <col customWidth="1" min="43" max="43" width="6.57"/>
    <col customWidth="1" min="44" max="44" width="9.71"/>
    <col customWidth="1" min="45" max="45" width="7.43"/>
    <col customWidth="1" min="46" max="46" width="11.71"/>
    <col customWidth="1" min="47" max="47" width="6.57"/>
    <col customWidth="1" min="48" max="48" width="9.86"/>
    <col customWidth="1" min="49" max="49" width="7.43"/>
    <col customWidth="1" min="50" max="50" width="10.71"/>
    <col customWidth="1" min="51" max="51" width="12.0"/>
    <col customWidth="1" min="52" max="52" width="9.29"/>
    <col customWidth="1" min="53" max="53" width="7.29"/>
    <col customWidth="1" min="54" max="54" width="9.29"/>
    <col customWidth="1" min="55" max="55" width="7.43"/>
    <col customWidth="1" min="56" max="56" width="12.71"/>
    <col customWidth="1" min="57" max="57" width="8.29"/>
    <col customWidth="1" min="58" max="58" width="9.71"/>
    <col customWidth="1" min="59" max="59" width="7.71"/>
    <col customWidth="1" min="60" max="60" width="10.14"/>
    <col customWidth="1" min="61" max="61" width="12.57"/>
    <col customWidth="1" min="62" max="62" width="9.29"/>
    <col customWidth="1" min="63" max="65" width="8.0"/>
    <col customWidth="1" min="66" max="66" width="12.0"/>
    <col customWidth="1" min="67" max="69" width="8.0"/>
    <col customWidth="1" min="70" max="70" width="10.57"/>
    <col customWidth="1" min="71" max="71" width="12.14"/>
    <col customWidth="1" min="72" max="72" width="10.86"/>
    <col customWidth="1" min="73" max="73" width="7.43"/>
    <col customWidth="1" min="74" max="75" width="8.0"/>
    <col customWidth="1" min="76" max="76" width="11.0"/>
    <col customWidth="1" min="77" max="77" width="7.29"/>
    <col customWidth="1" min="78" max="79" width="8.0"/>
    <col customWidth="1" min="80" max="80" width="10.29"/>
    <col customWidth="1" min="81" max="81" width="11.14"/>
    <col customWidth="1" min="82" max="85" width="8.0"/>
    <col customWidth="1" min="86" max="86" width="12.57"/>
    <col customWidth="1" min="87" max="89" width="8.0"/>
    <col customWidth="1" min="90" max="90" width="10.86"/>
    <col customWidth="1" min="91" max="91" width="12.0"/>
    <col customWidth="1" min="92" max="95" width="8.0"/>
    <col customWidth="1" min="96" max="96" width="12.57"/>
    <col customWidth="1" min="97" max="99" width="8.0"/>
    <col customWidth="1" min="100" max="100" width="11.71"/>
    <col customWidth="1" min="101" max="101" width="13.0"/>
    <col customWidth="1" min="102" max="110" width="8.0"/>
    <col customWidth="1" min="111" max="111" width="9.29"/>
    <col customWidth="1" min="112" max="122" width="8.0"/>
    <col customWidth="1" min="123" max="123" width="12.0"/>
    <col customWidth="1" min="124" max="124" width="10.43"/>
    <col customWidth="1" min="125" max="125" width="11.57"/>
  </cols>
  <sheetData>
    <row r="1" ht="13.5" customHeight="1">
      <c r="A1" s="130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18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34" t="s">
        <v>18</v>
      </c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</row>
    <row r="2" ht="13.5" customHeight="1">
      <c r="A2" s="1"/>
      <c r="B2" s="1"/>
      <c r="C2" s="131" t="s">
        <v>167</v>
      </c>
      <c r="D2" s="132"/>
      <c r="E2" s="132"/>
      <c r="F2" s="132"/>
      <c r="G2" s="132"/>
      <c r="H2" s="132"/>
      <c r="I2" s="132"/>
      <c r="J2" s="132"/>
      <c r="K2" s="132"/>
      <c r="L2" s="101"/>
      <c r="M2" s="131" t="s">
        <v>168</v>
      </c>
      <c r="N2" s="132"/>
      <c r="O2" s="132"/>
      <c r="P2" s="132"/>
      <c r="Q2" s="132"/>
      <c r="R2" s="132"/>
      <c r="S2" s="132"/>
      <c r="T2" s="132"/>
      <c r="U2" s="132"/>
      <c r="V2" s="101"/>
      <c r="W2" s="131" t="s">
        <v>169</v>
      </c>
      <c r="X2" s="132"/>
      <c r="Y2" s="132"/>
      <c r="Z2" s="132"/>
      <c r="AA2" s="132"/>
      <c r="AB2" s="132"/>
      <c r="AC2" s="132"/>
      <c r="AD2" s="132"/>
      <c r="AE2" s="132"/>
      <c r="AF2" s="101"/>
      <c r="AG2" s="131" t="s">
        <v>170</v>
      </c>
      <c r="AH2" s="132"/>
      <c r="AI2" s="132"/>
      <c r="AJ2" s="132"/>
      <c r="AK2" s="132"/>
      <c r="AL2" s="132"/>
      <c r="AM2" s="132"/>
      <c r="AN2" s="132"/>
      <c r="AO2" s="132"/>
      <c r="AP2" s="101"/>
      <c r="AQ2" s="131" t="s">
        <v>171</v>
      </c>
      <c r="AR2" s="132"/>
      <c r="AS2" s="132"/>
      <c r="AT2" s="132"/>
      <c r="AU2" s="132"/>
      <c r="AV2" s="132"/>
      <c r="AW2" s="132"/>
      <c r="AX2" s="132"/>
      <c r="AY2" s="132"/>
      <c r="AZ2" s="101"/>
      <c r="BA2" s="131" t="s">
        <v>172</v>
      </c>
      <c r="BB2" s="132"/>
      <c r="BC2" s="132"/>
      <c r="BD2" s="132"/>
      <c r="BE2" s="132"/>
      <c r="BF2" s="132"/>
      <c r="BG2" s="132"/>
      <c r="BH2" s="132"/>
      <c r="BI2" s="132"/>
      <c r="BJ2" s="101"/>
      <c r="BK2" s="131" t="s">
        <v>173</v>
      </c>
      <c r="BL2" s="132"/>
      <c r="BM2" s="132"/>
      <c r="BN2" s="132"/>
      <c r="BO2" s="132"/>
      <c r="BP2" s="132"/>
      <c r="BQ2" s="132"/>
      <c r="BR2" s="132"/>
      <c r="BS2" s="132"/>
      <c r="BT2" s="101"/>
      <c r="BU2" s="131" t="s">
        <v>174</v>
      </c>
      <c r="BV2" s="132"/>
      <c r="BW2" s="132"/>
      <c r="BX2" s="132"/>
      <c r="BY2" s="132"/>
      <c r="BZ2" s="132"/>
      <c r="CA2" s="132"/>
      <c r="CB2" s="132"/>
      <c r="CC2" s="132"/>
      <c r="CD2" s="101"/>
      <c r="CE2" s="131" t="s">
        <v>20</v>
      </c>
      <c r="CF2" s="132"/>
      <c r="CG2" s="132"/>
      <c r="CH2" s="132"/>
      <c r="CI2" s="132"/>
      <c r="CJ2" s="132"/>
      <c r="CK2" s="132"/>
      <c r="CL2" s="132"/>
      <c r="CM2" s="132"/>
      <c r="CN2" s="101"/>
      <c r="CO2" s="131" t="s">
        <v>21</v>
      </c>
      <c r="CP2" s="132"/>
      <c r="CQ2" s="132"/>
      <c r="CR2" s="132"/>
      <c r="CS2" s="132"/>
      <c r="CT2" s="132"/>
      <c r="CU2" s="132"/>
      <c r="CV2" s="132"/>
      <c r="CW2" s="132"/>
      <c r="CX2" s="101"/>
      <c r="CY2" s="131" t="s">
        <v>22</v>
      </c>
      <c r="CZ2" s="132"/>
      <c r="DA2" s="132"/>
      <c r="DB2" s="132"/>
      <c r="DC2" s="132"/>
      <c r="DD2" s="132"/>
      <c r="DE2" s="132"/>
      <c r="DF2" s="132"/>
      <c r="DG2" s="132"/>
      <c r="DH2" s="101"/>
      <c r="DI2" s="133" t="s">
        <v>23</v>
      </c>
      <c r="DJ2" s="132"/>
      <c r="DK2" s="132"/>
      <c r="DL2" s="132"/>
      <c r="DM2" s="132"/>
      <c r="DN2" s="132"/>
      <c r="DO2" s="132"/>
      <c r="DP2" s="132"/>
      <c r="DQ2" s="132"/>
      <c r="DR2" s="101"/>
      <c r="DS2" s="134">
        <v>2018.0</v>
      </c>
      <c r="DT2" s="135"/>
      <c r="DU2" s="1"/>
    </row>
    <row r="3" ht="13.5" customHeight="1">
      <c r="A3" s="5">
        <v>2018.0</v>
      </c>
      <c r="B3" s="1"/>
      <c r="C3" s="136" t="s">
        <v>175</v>
      </c>
      <c r="D3" s="137"/>
      <c r="E3" s="137"/>
      <c r="F3" s="135"/>
      <c r="G3" s="136" t="s">
        <v>176</v>
      </c>
      <c r="H3" s="137"/>
      <c r="I3" s="137"/>
      <c r="J3" s="135"/>
      <c r="K3" s="138"/>
      <c r="L3" s="139"/>
      <c r="M3" s="136" t="s">
        <v>175</v>
      </c>
      <c r="N3" s="137"/>
      <c r="O3" s="137"/>
      <c r="P3" s="135"/>
      <c r="Q3" s="136" t="s">
        <v>176</v>
      </c>
      <c r="R3" s="137"/>
      <c r="S3" s="137"/>
      <c r="T3" s="135"/>
      <c r="U3" s="138"/>
      <c r="V3" s="138"/>
      <c r="W3" s="136" t="s">
        <v>175</v>
      </c>
      <c r="X3" s="137"/>
      <c r="Y3" s="137"/>
      <c r="Z3" s="135"/>
      <c r="AA3" s="136" t="s">
        <v>176</v>
      </c>
      <c r="AB3" s="137"/>
      <c r="AC3" s="137"/>
      <c r="AD3" s="135"/>
      <c r="AE3" s="138"/>
      <c r="AF3" s="138"/>
      <c r="AG3" s="136" t="s">
        <v>175</v>
      </c>
      <c r="AH3" s="137"/>
      <c r="AI3" s="137"/>
      <c r="AJ3" s="135"/>
      <c r="AK3" s="136" t="s">
        <v>176</v>
      </c>
      <c r="AL3" s="137"/>
      <c r="AM3" s="137"/>
      <c r="AN3" s="135"/>
      <c r="AO3" s="138"/>
      <c r="AP3" s="138"/>
      <c r="AQ3" s="136" t="s">
        <v>175</v>
      </c>
      <c r="AR3" s="137"/>
      <c r="AS3" s="137"/>
      <c r="AT3" s="135"/>
      <c r="AU3" s="136" t="s">
        <v>176</v>
      </c>
      <c r="AV3" s="137"/>
      <c r="AW3" s="137"/>
      <c r="AX3" s="135"/>
      <c r="AY3" s="138"/>
      <c r="AZ3" s="138"/>
      <c r="BA3" s="136" t="s">
        <v>175</v>
      </c>
      <c r="BB3" s="137"/>
      <c r="BC3" s="137"/>
      <c r="BD3" s="135"/>
      <c r="BE3" s="136" t="s">
        <v>176</v>
      </c>
      <c r="BF3" s="137"/>
      <c r="BG3" s="137"/>
      <c r="BH3" s="135"/>
      <c r="BI3" s="138"/>
      <c r="BJ3" s="138"/>
      <c r="BK3" s="136" t="s">
        <v>175</v>
      </c>
      <c r="BL3" s="137"/>
      <c r="BM3" s="137"/>
      <c r="BN3" s="135"/>
      <c r="BO3" s="136" t="s">
        <v>176</v>
      </c>
      <c r="BP3" s="137"/>
      <c r="BQ3" s="137"/>
      <c r="BR3" s="135"/>
      <c r="BS3" s="138"/>
      <c r="BT3" s="138"/>
      <c r="BU3" s="136" t="s">
        <v>175</v>
      </c>
      <c r="BV3" s="137"/>
      <c r="BW3" s="137"/>
      <c r="BX3" s="135"/>
      <c r="BY3" s="136" t="s">
        <v>176</v>
      </c>
      <c r="BZ3" s="137"/>
      <c r="CA3" s="137"/>
      <c r="CB3" s="135"/>
      <c r="CC3" s="138"/>
      <c r="CD3" s="138"/>
      <c r="CE3" s="136" t="s">
        <v>175</v>
      </c>
      <c r="CF3" s="137"/>
      <c r="CG3" s="137"/>
      <c r="CH3" s="135"/>
      <c r="CI3" s="136" t="s">
        <v>176</v>
      </c>
      <c r="CJ3" s="137"/>
      <c r="CK3" s="137"/>
      <c r="CL3" s="135"/>
      <c r="CM3" s="138"/>
      <c r="CN3" s="138"/>
      <c r="CO3" s="136" t="s">
        <v>175</v>
      </c>
      <c r="CP3" s="137"/>
      <c r="CQ3" s="137"/>
      <c r="CR3" s="135"/>
      <c r="CS3" s="136" t="s">
        <v>176</v>
      </c>
      <c r="CT3" s="137"/>
      <c r="CU3" s="137"/>
      <c r="CV3" s="135"/>
      <c r="CW3" s="138"/>
      <c r="CX3" s="138"/>
      <c r="CY3" s="136" t="s">
        <v>175</v>
      </c>
      <c r="CZ3" s="137"/>
      <c r="DA3" s="137"/>
      <c r="DB3" s="135"/>
      <c r="DC3" s="136" t="s">
        <v>176</v>
      </c>
      <c r="DD3" s="137"/>
      <c r="DE3" s="137"/>
      <c r="DF3" s="135"/>
      <c r="DG3" s="138"/>
      <c r="DH3" s="140"/>
      <c r="DI3" s="136" t="s">
        <v>175</v>
      </c>
      <c r="DJ3" s="137"/>
      <c r="DK3" s="137"/>
      <c r="DL3" s="135"/>
      <c r="DM3" s="136" t="s">
        <v>176</v>
      </c>
      <c r="DN3" s="137"/>
      <c r="DO3" s="137"/>
      <c r="DP3" s="135"/>
      <c r="DQ3" s="138"/>
      <c r="DR3" s="138"/>
      <c r="DS3" s="141" t="s">
        <v>67</v>
      </c>
      <c r="DT3" s="142"/>
      <c r="DU3" s="1"/>
    </row>
    <row r="4" ht="13.5" customHeight="1">
      <c r="A4" s="11" t="s">
        <v>2</v>
      </c>
      <c r="B4" s="143" t="s">
        <v>5</v>
      </c>
      <c r="C4" s="144" t="s">
        <v>177</v>
      </c>
      <c r="D4" s="145" t="s">
        <v>178</v>
      </c>
      <c r="E4" s="145" t="s">
        <v>179</v>
      </c>
      <c r="F4" s="146" t="s">
        <v>180</v>
      </c>
      <c r="G4" s="144" t="s">
        <v>177</v>
      </c>
      <c r="H4" s="145" t="s">
        <v>178</v>
      </c>
      <c r="I4" s="145" t="s">
        <v>179</v>
      </c>
      <c r="J4" s="146" t="s">
        <v>180</v>
      </c>
      <c r="K4" s="147" t="s">
        <v>25</v>
      </c>
      <c r="L4" s="148" t="s">
        <v>181</v>
      </c>
      <c r="M4" s="144" t="s">
        <v>177</v>
      </c>
      <c r="N4" s="145" t="s">
        <v>178</v>
      </c>
      <c r="O4" s="145" t="s">
        <v>179</v>
      </c>
      <c r="P4" s="146" t="s">
        <v>180</v>
      </c>
      <c r="Q4" s="144" t="s">
        <v>177</v>
      </c>
      <c r="R4" s="145" t="s">
        <v>178</v>
      </c>
      <c r="S4" s="145" t="s">
        <v>179</v>
      </c>
      <c r="T4" s="146" t="s">
        <v>180</v>
      </c>
      <c r="U4" s="147" t="s">
        <v>25</v>
      </c>
      <c r="V4" s="147" t="s">
        <v>181</v>
      </c>
      <c r="W4" s="144" t="s">
        <v>177</v>
      </c>
      <c r="X4" s="145" t="s">
        <v>178</v>
      </c>
      <c r="Y4" s="145" t="s">
        <v>179</v>
      </c>
      <c r="Z4" s="146" t="s">
        <v>180</v>
      </c>
      <c r="AA4" s="144" t="s">
        <v>177</v>
      </c>
      <c r="AB4" s="145" t="s">
        <v>178</v>
      </c>
      <c r="AC4" s="145" t="s">
        <v>179</v>
      </c>
      <c r="AD4" s="146" t="s">
        <v>180</v>
      </c>
      <c r="AE4" s="147" t="s">
        <v>25</v>
      </c>
      <c r="AF4" s="147" t="s">
        <v>181</v>
      </c>
      <c r="AG4" s="144" t="s">
        <v>177</v>
      </c>
      <c r="AH4" s="145" t="s">
        <v>178</v>
      </c>
      <c r="AI4" s="145" t="s">
        <v>179</v>
      </c>
      <c r="AJ4" s="146" t="s">
        <v>180</v>
      </c>
      <c r="AK4" s="144" t="s">
        <v>177</v>
      </c>
      <c r="AL4" s="145" t="s">
        <v>178</v>
      </c>
      <c r="AM4" s="145" t="s">
        <v>179</v>
      </c>
      <c r="AN4" s="146" t="s">
        <v>180</v>
      </c>
      <c r="AO4" s="147" t="s">
        <v>25</v>
      </c>
      <c r="AP4" s="147" t="s">
        <v>181</v>
      </c>
      <c r="AQ4" s="144" t="s">
        <v>177</v>
      </c>
      <c r="AR4" s="145" t="s">
        <v>178</v>
      </c>
      <c r="AS4" s="145" t="s">
        <v>179</v>
      </c>
      <c r="AT4" s="146" t="s">
        <v>180</v>
      </c>
      <c r="AU4" s="144" t="s">
        <v>177</v>
      </c>
      <c r="AV4" s="145" t="s">
        <v>178</v>
      </c>
      <c r="AW4" s="145" t="s">
        <v>179</v>
      </c>
      <c r="AX4" s="146" t="s">
        <v>180</v>
      </c>
      <c r="AY4" s="147" t="s">
        <v>25</v>
      </c>
      <c r="AZ4" s="147" t="s">
        <v>181</v>
      </c>
      <c r="BA4" s="144" t="s">
        <v>177</v>
      </c>
      <c r="BB4" s="145" t="s">
        <v>178</v>
      </c>
      <c r="BC4" s="145" t="s">
        <v>179</v>
      </c>
      <c r="BD4" s="146" t="s">
        <v>180</v>
      </c>
      <c r="BE4" s="144" t="s">
        <v>177</v>
      </c>
      <c r="BF4" s="145" t="s">
        <v>178</v>
      </c>
      <c r="BG4" s="145" t="s">
        <v>179</v>
      </c>
      <c r="BH4" s="146" t="s">
        <v>180</v>
      </c>
      <c r="BI4" s="147" t="s">
        <v>25</v>
      </c>
      <c r="BJ4" s="147" t="s">
        <v>181</v>
      </c>
      <c r="BK4" s="144" t="s">
        <v>177</v>
      </c>
      <c r="BL4" s="145" t="s">
        <v>178</v>
      </c>
      <c r="BM4" s="145" t="s">
        <v>179</v>
      </c>
      <c r="BN4" s="146" t="s">
        <v>180</v>
      </c>
      <c r="BO4" s="144" t="s">
        <v>177</v>
      </c>
      <c r="BP4" s="145" t="s">
        <v>178</v>
      </c>
      <c r="BQ4" s="145" t="s">
        <v>179</v>
      </c>
      <c r="BR4" s="146" t="s">
        <v>180</v>
      </c>
      <c r="BS4" s="147" t="s">
        <v>25</v>
      </c>
      <c r="BT4" s="147" t="s">
        <v>181</v>
      </c>
      <c r="BU4" s="144" t="s">
        <v>177</v>
      </c>
      <c r="BV4" s="145" t="s">
        <v>178</v>
      </c>
      <c r="BW4" s="145" t="s">
        <v>179</v>
      </c>
      <c r="BX4" s="146" t="s">
        <v>180</v>
      </c>
      <c r="BY4" s="144" t="s">
        <v>177</v>
      </c>
      <c r="BZ4" s="145" t="s">
        <v>178</v>
      </c>
      <c r="CA4" s="145" t="s">
        <v>179</v>
      </c>
      <c r="CB4" s="146" t="s">
        <v>180</v>
      </c>
      <c r="CC4" s="147" t="s">
        <v>25</v>
      </c>
      <c r="CD4" s="147" t="s">
        <v>181</v>
      </c>
      <c r="CE4" s="144" t="s">
        <v>177</v>
      </c>
      <c r="CF4" s="145" t="s">
        <v>178</v>
      </c>
      <c r="CG4" s="145" t="s">
        <v>179</v>
      </c>
      <c r="CH4" s="146" t="s">
        <v>180</v>
      </c>
      <c r="CI4" s="144" t="s">
        <v>177</v>
      </c>
      <c r="CJ4" s="145" t="s">
        <v>178</v>
      </c>
      <c r="CK4" s="145" t="s">
        <v>179</v>
      </c>
      <c r="CL4" s="146" t="s">
        <v>180</v>
      </c>
      <c r="CM4" s="147" t="s">
        <v>25</v>
      </c>
      <c r="CN4" s="147" t="s">
        <v>181</v>
      </c>
      <c r="CO4" s="144" t="s">
        <v>177</v>
      </c>
      <c r="CP4" s="145" t="s">
        <v>178</v>
      </c>
      <c r="CQ4" s="145" t="s">
        <v>179</v>
      </c>
      <c r="CR4" s="146" t="s">
        <v>180</v>
      </c>
      <c r="CS4" s="144" t="s">
        <v>177</v>
      </c>
      <c r="CT4" s="145" t="s">
        <v>178</v>
      </c>
      <c r="CU4" s="145" t="s">
        <v>179</v>
      </c>
      <c r="CV4" s="146" t="s">
        <v>180</v>
      </c>
      <c r="CW4" s="147" t="s">
        <v>25</v>
      </c>
      <c r="CX4" s="147" t="s">
        <v>181</v>
      </c>
      <c r="CY4" s="144" t="s">
        <v>177</v>
      </c>
      <c r="CZ4" s="145" t="s">
        <v>178</v>
      </c>
      <c r="DA4" s="145" t="s">
        <v>179</v>
      </c>
      <c r="DB4" s="146" t="s">
        <v>180</v>
      </c>
      <c r="DC4" s="144" t="s">
        <v>177</v>
      </c>
      <c r="DD4" s="145" t="s">
        <v>178</v>
      </c>
      <c r="DE4" s="145" t="s">
        <v>179</v>
      </c>
      <c r="DF4" s="146" t="s">
        <v>180</v>
      </c>
      <c r="DG4" s="147" t="s">
        <v>25</v>
      </c>
      <c r="DH4" s="147" t="s">
        <v>181</v>
      </c>
      <c r="DI4" s="144" t="s">
        <v>177</v>
      </c>
      <c r="DJ4" s="145" t="s">
        <v>178</v>
      </c>
      <c r="DK4" s="145" t="s">
        <v>179</v>
      </c>
      <c r="DL4" s="146" t="s">
        <v>180</v>
      </c>
      <c r="DM4" s="144" t="s">
        <v>177</v>
      </c>
      <c r="DN4" s="145" t="s">
        <v>178</v>
      </c>
      <c r="DO4" s="145" t="s">
        <v>179</v>
      </c>
      <c r="DP4" s="146" t="s">
        <v>180</v>
      </c>
      <c r="DQ4" s="147" t="s">
        <v>25</v>
      </c>
      <c r="DR4" s="147" t="s">
        <v>181</v>
      </c>
      <c r="DS4" s="149" t="s">
        <v>182</v>
      </c>
      <c r="DT4" s="150" t="s">
        <v>183</v>
      </c>
      <c r="DU4" s="1" t="s">
        <v>184</v>
      </c>
    </row>
    <row r="5" ht="12.75" customHeight="1">
      <c r="A5" s="27" t="s">
        <v>29</v>
      </c>
      <c r="B5" s="28" t="s">
        <v>31</v>
      </c>
      <c r="C5" s="151">
        <v>4.08</v>
      </c>
      <c r="D5" s="152">
        <v>7.0</v>
      </c>
      <c r="E5" s="152">
        <f>D5-7</f>
        <v>0</v>
      </c>
      <c r="F5" s="15">
        <f t="shared" ref="F5:F45" si="1">C5*E5</f>
        <v>0</v>
      </c>
      <c r="G5" s="151">
        <v>2.06</v>
      </c>
      <c r="H5" s="152">
        <v>4.0</v>
      </c>
      <c r="I5" s="152">
        <f>H5-4</f>
        <v>0</v>
      </c>
      <c r="J5" s="15">
        <f t="shared" ref="J5:J45" si="2">G5*I5</f>
        <v>0</v>
      </c>
      <c r="K5" s="153">
        <f t="shared" ref="K5:K45" si="3">F5+J5</f>
        <v>0</v>
      </c>
      <c r="L5" s="154">
        <v>0.0</v>
      </c>
      <c r="M5" s="151">
        <v>4.08</v>
      </c>
      <c r="N5" s="152">
        <f t="shared" ref="N5:N6" si="4">D5</f>
        <v>7</v>
      </c>
      <c r="O5" s="155">
        <f t="shared" ref="O5:O45" si="5">N5-D5</f>
        <v>0</v>
      </c>
      <c r="P5" s="15">
        <f t="shared" ref="P5:P45" si="6">M5*O5</f>
        <v>0</v>
      </c>
      <c r="Q5" s="151">
        <v>2.06</v>
      </c>
      <c r="R5" s="152">
        <f t="shared" ref="R5:R6" si="7">H5</f>
        <v>4</v>
      </c>
      <c r="S5" s="155">
        <f t="shared" ref="S5:S45" si="8">R5-H5</f>
        <v>0</v>
      </c>
      <c r="T5" s="15">
        <f t="shared" ref="T5:T45" si="9">Q5*S5</f>
        <v>0</v>
      </c>
      <c r="U5" s="153">
        <f t="shared" ref="U5:U45" si="10">P5+T5</f>
        <v>0</v>
      </c>
      <c r="V5" s="154">
        <v>0.0</v>
      </c>
      <c r="W5" s="151">
        <v>4.08</v>
      </c>
      <c r="X5" s="152">
        <f t="shared" ref="X5:X6" si="11">N5</f>
        <v>7</v>
      </c>
      <c r="Y5" s="152">
        <f t="shared" ref="Y5:Y45" si="12">X5-N5</f>
        <v>0</v>
      </c>
      <c r="Z5" s="15">
        <f t="shared" ref="Z5:Z45" si="13">W5*Y5</f>
        <v>0</v>
      </c>
      <c r="AA5" s="151">
        <v>2.06</v>
      </c>
      <c r="AB5" s="152">
        <f t="shared" ref="AB5:AB6" si="14">R5</f>
        <v>4</v>
      </c>
      <c r="AC5" s="152">
        <f t="shared" ref="AC5:AC45" si="15">AB5-R5</f>
        <v>0</v>
      </c>
      <c r="AD5" s="15">
        <f t="shared" ref="AD5:AD45" si="16">AA5*AC5</f>
        <v>0</v>
      </c>
      <c r="AE5" s="153">
        <f t="shared" ref="AE5:AE45" si="17">Z5+AD5</f>
        <v>0</v>
      </c>
      <c r="AF5" s="156">
        <v>0.0</v>
      </c>
      <c r="AG5" s="151">
        <v>4.08</v>
      </c>
      <c r="AH5" s="152">
        <f t="shared" ref="AH5:AH6" si="18">X5</f>
        <v>7</v>
      </c>
      <c r="AI5" s="155">
        <f t="shared" ref="AI5:AI45" si="19">AH5-X5</f>
        <v>0</v>
      </c>
      <c r="AJ5" s="15">
        <f>AG5*AI5</f>
        <v>0</v>
      </c>
      <c r="AK5" s="151">
        <v>2.06</v>
      </c>
      <c r="AL5" s="152">
        <f t="shared" ref="AL5:AL6" si="20">AB5</f>
        <v>4</v>
      </c>
      <c r="AM5" s="155">
        <f t="shared" ref="AM5:AM45" si="21">AL5-AB5</f>
        <v>0</v>
      </c>
      <c r="AN5" s="15">
        <v>0.0</v>
      </c>
      <c r="AO5" s="156">
        <f t="shared" ref="AO5:AO45" si="22">AN5+AJ5</f>
        <v>0</v>
      </c>
      <c r="AP5" s="156">
        <v>0.0</v>
      </c>
      <c r="AQ5" s="151">
        <v>4.08</v>
      </c>
      <c r="AR5" s="152">
        <f t="shared" ref="AR5:AR6" si="23">AH5</f>
        <v>7</v>
      </c>
      <c r="AS5" s="152">
        <f t="shared" ref="AS5:AS45" si="24">AR5-AH5</f>
        <v>0</v>
      </c>
      <c r="AT5" s="15">
        <f t="shared" ref="AT5:AT45" si="25">AQ5*AS5</f>
        <v>0</v>
      </c>
      <c r="AU5" s="151">
        <v>2.06</v>
      </c>
      <c r="AV5" s="152">
        <f t="shared" ref="AV5:AV6" si="26">AL5</f>
        <v>4</v>
      </c>
      <c r="AW5" s="152">
        <f t="shared" ref="AW5:AW45" si="27">AV5-AL5</f>
        <v>0</v>
      </c>
      <c r="AX5" s="15">
        <f t="shared" ref="AX5:AX45" si="28">AW5*AU5</f>
        <v>0</v>
      </c>
      <c r="AY5" s="156">
        <f t="shared" ref="AY5:AY45" si="29">AX5+AT5</f>
        <v>0</v>
      </c>
      <c r="AZ5" s="154">
        <v>0.0</v>
      </c>
      <c r="BA5" s="151">
        <v>4.08</v>
      </c>
      <c r="BB5" s="152">
        <f t="shared" ref="BB5:BB6" si="30">AR5</f>
        <v>7</v>
      </c>
      <c r="BC5" s="152">
        <f t="shared" ref="BC5:BC45" si="31">BB5-AR5</f>
        <v>0</v>
      </c>
      <c r="BD5" s="15">
        <f t="shared" ref="BD5:BD45" si="32">BA5*BC5</f>
        <v>0</v>
      </c>
      <c r="BE5" s="151">
        <v>2.06</v>
      </c>
      <c r="BF5" s="152">
        <f t="shared" ref="BF5:BF6" si="33">AV5</f>
        <v>4</v>
      </c>
      <c r="BG5" s="152">
        <f t="shared" ref="BG5:BG45" si="34">BF5-AV5</f>
        <v>0</v>
      </c>
      <c r="BH5" s="15">
        <f t="shared" ref="BH5:BH45" si="35">BG5*BE5</f>
        <v>0</v>
      </c>
      <c r="BI5" s="156">
        <f t="shared" ref="BI5:BI45" si="36">BD5+BH5</f>
        <v>0</v>
      </c>
      <c r="BJ5" s="156"/>
      <c r="BK5" s="151">
        <v>4.28</v>
      </c>
      <c r="BL5" s="152">
        <f t="shared" ref="BL5:BL6" si="37">BB5</f>
        <v>7</v>
      </c>
      <c r="BM5" s="152">
        <f t="shared" ref="BM5:BM45" si="38">BL5-BB5</f>
        <v>0</v>
      </c>
      <c r="BN5" s="15">
        <f t="shared" ref="BN5:BN45" si="39">BK5*BM5</f>
        <v>0</v>
      </c>
      <c r="BO5" s="151">
        <v>2.23</v>
      </c>
      <c r="BP5" s="152">
        <f t="shared" ref="BP5:BP6" si="40">BF5</f>
        <v>4</v>
      </c>
      <c r="BQ5" s="152">
        <f t="shared" ref="BQ5:BQ45" si="41">BP5-BF5</f>
        <v>0</v>
      </c>
      <c r="BR5" s="15">
        <f t="shared" ref="BR5:BR45" si="42">BO5*BQ5</f>
        <v>0</v>
      </c>
      <c r="BS5" s="156">
        <f t="shared" ref="BS5:BS45" si="43">BN5+BR5</f>
        <v>0</v>
      </c>
      <c r="BT5" s="156"/>
      <c r="BU5" s="151">
        <v>4.28</v>
      </c>
      <c r="BV5" s="152">
        <f t="shared" ref="BV5:BV6" si="44">BL5</f>
        <v>7</v>
      </c>
      <c r="BW5" s="152">
        <f t="shared" ref="BW5:BW45" si="45">BV5-BL5</f>
        <v>0</v>
      </c>
      <c r="BX5" s="15">
        <f t="shared" ref="BX5:BX45" si="46">BU5*BW5</f>
        <v>0</v>
      </c>
      <c r="BY5" s="151">
        <v>2.23</v>
      </c>
      <c r="BZ5" s="152">
        <f t="shared" ref="BZ5:BZ6" si="47">BP5</f>
        <v>4</v>
      </c>
      <c r="CA5" s="152">
        <f t="shared" ref="CA5:CA45" si="48">BZ5-BP5</f>
        <v>0</v>
      </c>
      <c r="CB5" s="15">
        <f t="shared" ref="CB5:CB45" si="49">CA5*BY5</f>
        <v>0</v>
      </c>
      <c r="CC5" s="156">
        <f t="shared" ref="CC5:CC45" si="50">BX5+CB5</f>
        <v>0</v>
      </c>
      <c r="CD5" s="156"/>
      <c r="CE5" s="151"/>
      <c r="CF5" s="152"/>
      <c r="CG5" s="155"/>
      <c r="CH5" s="15"/>
      <c r="CI5" s="151"/>
      <c r="CJ5" s="152"/>
      <c r="CK5" s="155"/>
      <c r="CL5" s="15"/>
      <c r="CM5" s="156"/>
      <c r="CN5" s="156"/>
      <c r="CO5" s="151"/>
      <c r="CP5" s="152"/>
      <c r="CQ5" s="152"/>
      <c r="CR5" s="15"/>
      <c r="CS5" s="151"/>
      <c r="CT5" s="152"/>
      <c r="CU5" s="152"/>
      <c r="CV5" s="15"/>
      <c r="CW5" s="156"/>
      <c r="CX5" s="156"/>
      <c r="CY5" s="151"/>
      <c r="CZ5" s="152"/>
      <c r="DA5" s="152"/>
      <c r="DB5" s="157"/>
      <c r="DC5" s="151"/>
      <c r="DD5" s="152"/>
      <c r="DE5" s="152"/>
      <c r="DF5" s="157"/>
      <c r="DG5" s="158"/>
      <c r="DH5" s="156"/>
      <c r="DI5" s="151"/>
      <c r="DJ5" s="152"/>
      <c r="DK5" s="152"/>
      <c r="DL5" s="157"/>
      <c r="DM5" s="151"/>
      <c r="DN5" s="152"/>
      <c r="DO5" s="152"/>
      <c r="DP5" s="157"/>
      <c r="DQ5" s="156"/>
      <c r="DR5" s="156"/>
      <c r="DS5" s="159"/>
      <c r="DT5" s="160"/>
      <c r="DU5" s="34"/>
    </row>
    <row r="6" ht="12.75" customHeight="1">
      <c r="A6" s="48" t="s">
        <v>45</v>
      </c>
      <c r="B6" s="36" t="s">
        <v>31</v>
      </c>
      <c r="C6" s="151">
        <v>4.08</v>
      </c>
      <c r="D6" s="152">
        <v>4.0</v>
      </c>
      <c r="E6" s="152">
        <f>D6-4</f>
        <v>0</v>
      </c>
      <c r="F6" s="15">
        <f t="shared" si="1"/>
        <v>0</v>
      </c>
      <c r="G6" s="151">
        <v>2.06</v>
      </c>
      <c r="H6" s="152">
        <v>5.0</v>
      </c>
      <c r="I6" s="152">
        <f>H6-5</f>
        <v>0</v>
      </c>
      <c r="J6" s="15">
        <f t="shared" si="2"/>
        <v>0</v>
      </c>
      <c r="K6" s="153">
        <f t="shared" si="3"/>
        <v>0</v>
      </c>
      <c r="L6" s="154">
        <v>0.0</v>
      </c>
      <c r="M6" s="151">
        <v>4.08</v>
      </c>
      <c r="N6" s="152">
        <f t="shared" si="4"/>
        <v>4</v>
      </c>
      <c r="O6" s="155">
        <f t="shared" si="5"/>
        <v>0</v>
      </c>
      <c r="P6" s="15">
        <f t="shared" si="6"/>
        <v>0</v>
      </c>
      <c r="Q6" s="151">
        <v>2.06</v>
      </c>
      <c r="R6" s="152">
        <f t="shared" si="7"/>
        <v>5</v>
      </c>
      <c r="S6" s="155">
        <f t="shared" si="8"/>
        <v>0</v>
      </c>
      <c r="T6" s="15">
        <f t="shared" si="9"/>
        <v>0</v>
      </c>
      <c r="U6" s="153">
        <f t="shared" si="10"/>
        <v>0</v>
      </c>
      <c r="V6" s="154">
        <v>0.0</v>
      </c>
      <c r="W6" s="151">
        <v>4.08</v>
      </c>
      <c r="X6" s="152">
        <f t="shared" si="11"/>
        <v>4</v>
      </c>
      <c r="Y6" s="152">
        <f t="shared" si="12"/>
        <v>0</v>
      </c>
      <c r="Z6" s="15">
        <f t="shared" si="13"/>
        <v>0</v>
      </c>
      <c r="AA6" s="151">
        <v>2.06</v>
      </c>
      <c r="AB6" s="152">
        <f t="shared" si="14"/>
        <v>5</v>
      </c>
      <c r="AC6" s="152">
        <f t="shared" si="15"/>
        <v>0</v>
      </c>
      <c r="AD6" s="15">
        <f t="shared" si="16"/>
        <v>0</v>
      </c>
      <c r="AE6" s="153">
        <f t="shared" si="17"/>
        <v>0</v>
      </c>
      <c r="AF6" s="154">
        <v>0.0</v>
      </c>
      <c r="AG6" s="151">
        <v>4.08</v>
      </c>
      <c r="AH6" s="152">
        <f t="shared" si="18"/>
        <v>4</v>
      </c>
      <c r="AI6" s="155">
        <f t="shared" si="19"/>
        <v>0</v>
      </c>
      <c r="AJ6" s="15">
        <v>0.0</v>
      </c>
      <c r="AK6" s="151">
        <v>2.06</v>
      </c>
      <c r="AL6" s="152">
        <f t="shared" si="20"/>
        <v>5</v>
      </c>
      <c r="AM6" s="155">
        <f t="shared" si="21"/>
        <v>0</v>
      </c>
      <c r="AN6" s="15">
        <v>0.0</v>
      </c>
      <c r="AO6" s="156">
        <f t="shared" si="22"/>
        <v>0</v>
      </c>
      <c r="AP6" s="156"/>
      <c r="AQ6" s="151">
        <v>4.08</v>
      </c>
      <c r="AR6" s="152">
        <f t="shared" si="23"/>
        <v>4</v>
      </c>
      <c r="AS6" s="152">
        <f t="shared" si="24"/>
        <v>0</v>
      </c>
      <c r="AT6" s="15">
        <f t="shared" si="25"/>
        <v>0</v>
      </c>
      <c r="AU6" s="151">
        <v>2.06</v>
      </c>
      <c r="AV6" s="152">
        <f t="shared" si="26"/>
        <v>5</v>
      </c>
      <c r="AW6" s="152">
        <f t="shared" si="27"/>
        <v>0</v>
      </c>
      <c r="AX6" s="15">
        <f t="shared" si="28"/>
        <v>0</v>
      </c>
      <c r="AY6" s="156">
        <f t="shared" si="29"/>
        <v>0</v>
      </c>
      <c r="AZ6" s="154">
        <v>0.0</v>
      </c>
      <c r="BA6" s="151">
        <v>4.08</v>
      </c>
      <c r="BB6" s="152">
        <f t="shared" si="30"/>
        <v>4</v>
      </c>
      <c r="BC6" s="152">
        <f t="shared" si="31"/>
        <v>0</v>
      </c>
      <c r="BD6" s="15">
        <f t="shared" si="32"/>
        <v>0</v>
      </c>
      <c r="BE6" s="151">
        <v>2.06</v>
      </c>
      <c r="BF6" s="152">
        <f t="shared" si="33"/>
        <v>5</v>
      </c>
      <c r="BG6" s="152">
        <f t="shared" si="34"/>
        <v>0</v>
      </c>
      <c r="BH6" s="15">
        <f t="shared" si="35"/>
        <v>0</v>
      </c>
      <c r="BI6" s="156">
        <f t="shared" si="36"/>
        <v>0</v>
      </c>
      <c r="BJ6" s="156"/>
      <c r="BK6" s="151">
        <v>4.28</v>
      </c>
      <c r="BL6" s="152">
        <f t="shared" si="37"/>
        <v>4</v>
      </c>
      <c r="BM6" s="152">
        <f t="shared" si="38"/>
        <v>0</v>
      </c>
      <c r="BN6" s="15">
        <f t="shared" si="39"/>
        <v>0</v>
      </c>
      <c r="BO6" s="151">
        <v>2.23</v>
      </c>
      <c r="BP6" s="152">
        <f t="shared" si="40"/>
        <v>5</v>
      </c>
      <c r="BQ6" s="152">
        <f t="shared" si="41"/>
        <v>0</v>
      </c>
      <c r="BR6" s="15">
        <f t="shared" si="42"/>
        <v>0</v>
      </c>
      <c r="BS6" s="156">
        <f t="shared" si="43"/>
        <v>0</v>
      </c>
      <c r="BT6" s="156"/>
      <c r="BU6" s="151">
        <v>4.28</v>
      </c>
      <c r="BV6" s="152">
        <f t="shared" si="44"/>
        <v>4</v>
      </c>
      <c r="BW6" s="152">
        <f t="shared" si="45"/>
        <v>0</v>
      </c>
      <c r="BX6" s="15">
        <f t="shared" si="46"/>
        <v>0</v>
      </c>
      <c r="BY6" s="151">
        <v>2.23</v>
      </c>
      <c r="BZ6" s="152">
        <f t="shared" si="47"/>
        <v>5</v>
      </c>
      <c r="CA6" s="152">
        <f t="shared" si="48"/>
        <v>0</v>
      </c>
      <c r="CB6" s="15">
        <f t="shared" si="49"/>
        <v>0</v>
      </c>
      <c r="CC6" s="156">
        <f t="shared" si="50"/>
        <v>0</v>
      </c>
      <c r="CD6" s="156"/>
      <c r="CE6" s="151"/>
      <c r="CF6" s="152"/>
      <c r="CG6" s="155"/>
      <c r="CH6" s="15"/>
      <c r="CI6" s="151"/>
      <c r="CJ6" s="152"/>
      <c r="CK6" s="155"/>
      <c r="CL6" s="15"/>
      <c r="CM6" s="156"/>
      <c r="CN6" s="156"/>
      <c r="CO6" s="151"/>
      <c r="CP6" s="152"/>
      <c r="CQ6" s="152"/>
      <c r="CR6" s="15"/>
      <c r="CS6" s="151"/>
      <c r="CT6" s="152"/>
      <c r="CU6" s="152"/>
      <c r="CV6" s="15"/>
      <c r="CW6" s="156"/>
      <c r="CX6" s="156"/>
      <c r="CY6" s="151"/>
      <c r="CZ6" s="152"/>
      <c r="DA6" s="152"/>
      <c r="DB6" s="157"/>
      <c r="DC6" s="151"/>
      <c r="DD6" s="152"/>
      <c r="DE6" s="152"/>
      <c r="DF6" s="157"/>
      <c r="DG6" s="158"/>
      <c r="DH6" s="156"/>
      <c r="DI6" s="151"/>
      <c r="DJ6" s="152"/>
      <c r="DK6" s="152"/>
      <c r="DL6" s="157"/>
      <c r="DM6" s="151"/>
      <c r="DN6" s="152"/>
      <c r="DO6" s="152"/>
      <c r="DP6" s="157"/>
      <c r="DQ6" s="156"/>
      <c r="DR6" s="156"/>
      <c r="DS6" s="159"/>
      <c r="DT6" s="160"/>
      <c r="DU6" s="34"/>
    </row>
    <row r="7" ht="12.75" customHeight="1">
      <c r="A7" s="48" t="s">
        <v>73</v>
      </c>
      <c r="B7" s="36" t="s">
        <v>74</v>
      </c>
      <c r="C7" s="151">
        <v>4.08</v>
      </c>
      <c r="D7" s="161">
        <v>33921.0</v>
      </c>
      <c r="E7" s="152">
        <f>D7-32764</f>
        <v>1157</v>
      </c>
      <c r="F7" s="15">
        <f t="shared" si="1"/>
        <v>4720.56</v>
      </c>
      <c r="G7" s="151">
        <v>2.06</v>
      </c>
      <c r="H7" s="161">
        <v>12924.0</v>
      </c>
      <c r="I7" s="152">
        <f>H7-12362</f>
        <v>562</v>
      </c>
      <c r="J7" s="15">
        <f t="shared" si="2"/>
        <v>1157.72</v>
      </c>
      <c r="K7" s="153">
        <f t="shared" si="3"/>
        <v>5878.28</v>
      </c>
      <c r="L7" s="154">
        <v>5878.0</v>
      </c>
      <c r="M7" s="151">
        <v>4.08</v>
      </c>
      <c r="N7" s="161">
        <v>34863.0</v>
      </c>
      <c r="O7" s="155">
        <f t="shared" si="5"/>
        <v>942</v>
      </c>
      <c r="P7" s="15">
        <f t="shared" si="6"/>
        <v>3843.36</v>
      </c>
      <c r="Q7" s="151">
        <v>2.06</v>
      </c>
      <c r="R7" s="161">
        <v>13381.0</v>
      </c>
      <c r="S7" s="155">
        <f t="shared" si="8"/>
        <v>457</v>
      </c>
      <c r="T7" s="15">
        <f t="shared" si="9"/>
        <v>941.42</v>
      </c>
      <c r="U7" s="153">
        <f t="shared" si="10"/>
        <v>4784.78</v>
      </c>
      <c r="V7" s="154">
        <v>4785.0</v>
      </c>
      <c r="W7" s="151">
        <v>4.08</v>
      </c>
      <c r="X7" s="161">
        <v>35931.0</v>
      </c>
      <c r="Y7" s="152">
        <f t="shared" si="12"/>
        <v>1068</v>
      </c>
      <c r="Z7" s="15">
        <f t="shared" si="13"/>
        <v>4357.44</v>
      </c>
      <c r="AA7" s="151">
        <v>2.06</v>
      </c>
      <c r="AB7" s="161">
        <v>13901.0</v>
      </c>
      <c r="AC7" s="152">
        <f t="shared" si="15"/>
        <v>520</v>
      </c>
      <c r="AD7" s="15">
        <f t="shared" si="16"/>
        <v>1071.2</v>
      </c>
      <c r="AE7" s="153">
        <f t="shared" si="17"/>
        <v>5428.64</v>
      </c>
      <c r="AF7" s="154">
        <v>5429.0</v>
      </c>
      <c r="AG7" s="151">
        <v>4.08</v>
      </c>
      <c r="AH7" s="161">
        <v>36468.0</v>
      </c>
      <c r="AI7" s="155">
        <f t="shared" si="19"/>
        <v>537</v>
      </c>
      <c r="AJ7" s="15">
        <f t="shared" ref="AJ7:AJ45" si="51">AI7*AG7</f>
        <v>2190.96</v>
      </c>
      <c r="AK7" s="151">
        <v>2.06</v>
      </c>
      <c r="AL7" s="161">
        <v>14173.0</v>
      </c>
      <c r="AM7" s="155">
        <f t="shared" si="21"/>
        <v>272</v>
      </c>
      <c r="AN7" s="15">
        <f t="shared" ref="AN7:AN45" si="52">AM7*AK7</f>
        <v>560.32</v>
      </c>
      <c r="AO7" s="156">
        <f t="shared" si="22"/>
        <v>2751.28</v>
      </c>
      <c r="AP7" s="154">
        <v>2751.0</v>
      </c>
      <c r="AQ7" s="151">
        <v>4.08</v>
      </c>
      <c r="AR7" s="161">
        <v>36718.0</v>
      </c>
      <c r="AS7" s="152">
        <f t="shared" si="24"/>
        <v>250</v>
      </c>
      <c r="AT7" s="15">
        <f t="shared" si="25"/>
        <v>1020</v>
      </c>
      <c r="AU7" s="151">
        <v>2.06</v>
      </c>
      <c r="AV7" s="161">
        <v>14273.0</v>
      </c>
      <c r="AW7" s="152">
        <f t="shared" si="27"/>
        <v>100</v>
      </c>
      <c r="AX7" s="15">
        <f t="shared" si="28"/>
        <v>206</v>
      </c>
      <c r="AY7" s="156">
        <f t="shared" si="29"/>
        <v>1226</v>
      </c>
      <c r="AZ7" s="154">
        <v>1226.0</v>
      </c>
      <c r="BA7" s="151">
        <v>4.08</v>
      </c>
      <c r="BB7" s="161">
        <v>36938.0</v>
      </c>
      <c r="BC7" s="152">
        <f t="shared" si="31"/>
        <v>220</v>
      </c>
      <c r="BD7" s="15">
        <f t="shared" si="32"/>
        <v>897.6</v>
      </c>
      <c r="BE7" s="151">
        <v>2.06</v>
      </c>
      <c r="BF7" s="161">
        <v>14366.0</v>
      </c>
      <c r="BG7" s="152">
        <f t="shared" si="34"/>
        <v>93</v>
      </c>
      <c r="BH7" s="15">
        <f t="shared" si="35"/>
        <v>191.58</v>
      </c>
      <c r="BI7" s="156">
        <f t="shared" si="36"/>
        <v>1089.18</v>
      </c>
      <c r="BJ7" s="154">
        <v>1089.0</v>
      </c>
      <c r="BK7" s="151">
        <v>4.28</v>
      </c>
      <c r="BL7" s="161">
        <v>37115.0</v>
      </c>
      <c r="BM7" s="152">
        <f t="shared" si="38"/>
        <v>177</v>
      </c>
      <c r="BN7" s="15">
        <f t="shared" si="39"/>
        <v>757.56</v>
      </c>
      <c r="BO7" s="151">
        <v>2.23</v>
      </c>
      <c r="BP7" s="161">
        <v>14446.0</v>
      </c>
      <c r="BQ7" s="152">
        <f t="shared" si="41"/>
        <v>80</v>
      </c>
      <c r="BR7" s="15">
        <f t="shared" si="42"/>
        <v>178.4</v>
      </c>
      <c r="BS7" s="156">
        <f t="shared" si="43"/>
        <v>935.96</v>
      </c>
      <c r="BT7" s="154">
        <v>936.0</v>
      </c>
      <c r="BU7" s="151">
        <v>4.28</v>
      </c>
      <c r="BV7" s="161">
        <v>37256.0</v>
      </c>
      <c r="BW7" s="152">
        <f t="shared" si="45"/>
        <v>141</v>
      </c>
      <c r="BX7" s="15">
        <f t="shared" si="46"/>
        <v>603.48</v>
      </c>
      <c r="BY7" s="151">
        <v>2.23</v>
      </c>
      <c r="BZ7" s="161">
        <v>14508.0</v>
      </c>
      <c r="CA7" s="152">
        <f t="shared" si="48"/>
        <v>62</v>
      </c>
      <c r="CB7" s="15">
        <f t="shared" si="49"/>
        <v>138.26</v>
      </c>
      <c r="CC7" s="156">
        <f t="shared" si="50"/>
        <v>741.74</v>
      </c>
      <c r="CD7" s="154"/>
      <c r="CE7" s="151"/>
      <c r="CF7" s="161"/>
      <c r="CG7" s="155"/>
      <c r="CH7" s="15"/>
      <c r="CI7" s="151"/>
      <c r="CJ7" s="161"/>
      <c r="CK7" s="155"/>
      <c r="CL7" s="15"/>
      <c r="CM7" s="156"/>
      <c r="CN7" s="154"/>
      <c r="CO7" s="151"/>
      <c r="CP7" s="161"/>
      <c r="CQ7" s="152"/>
      <c r="CR7" s="15"/>
      <c r="CS7" s="151"/>
      <c r="CT7" s="161"/>
      <c r="CU7" s="152"/>
      <c r="CV7" s="15"/>
      <c r="CW7" s="156"/>
      <c r="CX7" s="154"/>
      <c r="CY7" s="151"/>
      <c r="CZ7" s="161"/>
      <c r="DA7" s="152"/>
      <c r="DB7" s="157"/>
      <c r="DC7" s="151"/>
      <c r="DD7" s="161"/>
      <c r="DE7" s="152"/>
      <c r="DF7" s="157"/>
      <c r="DG7" s="158"/>
      <c r="DH7" s="156"/>
      <c r="DI7" s="151"/>
      <c r="DJ7" s="152"/>
      <c r="DK7" s="152"/>
      <c r="DL7" s="157"/>
      <c r="DM7" s="151"/>
      <c r="DN7" s="152"/>
      <c r="DO7" s="152"/>
      <c r="DP7" s="157"/>
      <c r="DQ7" s="156"/>
      <c r="DR7" s="156"/>
      <c r="DS7" s="159"/>
      <c r="DT7" s="160"/>
      <c r="DU7" s="34"/>
    </row>
    <row r="8" ht="12.75" customHeight="1">
      <c r="A8" s="48" t="s">
        <v>75</v>
      </c>
      <c r="B8" s="36" t="s">
        <v>76</v>
      </c>
      <c r="C8" s="151">
        <v>4.08</v>
      </c>
      <c r="D8" s="161">
        <v>97410.0</v>
      </c>
      <c r="E8" s="152">
        <f>D8-95439</f>
        <v>1971</v>
      </c>
      <c r="F8" s="15">
        <f t="shared" si="1"/>
        <v>8041.68</v>
      </c>
      <c r="G8" s="151">
        <v>2.06</v>
      </c>
      <c r="H8" s="161">
        <v>48169.0</v>
      </c>
      <c r="I8" s="152">
        <f>H8-47073</f>
        <v>1096</v>
      </c>
      <c r="J8" s="15">
        <f t="shared" si="2"/>
        <v>2257.76</v>
      </c>
      <c r="K8" s="153">
        <f t="shared" si="3"/>
        <v>10299.44</v>
      </c>
      <c r="L8" s="154">
        <v>10299.0</v>
      </c>
      <c r="M8" s="151">
        <v>4.08</v>
      </c>
      <c r="N8" s="161">
        <v>99490.0</v>
      </c>
      <c r="O8" s="155">
        <f t="shared" si="5"/>
        <v>2080</v>
      </c>
      <c r="P8" s="15">
        <f t="shared" si="6"/>
        <v>8486.4</v>
      </c>
      <c r="Q8" s="151">
        <v>2.06</v>
      </c>
      <c r="R8" s="161">
        <v>49348.0</v>
      </c>
      <c r="S8" s="155">
        <f t="shared" si="8"/>
        <v>1179</v>
      </c>
      <c r="T8" s="15">
        <f t="shared" si="9"/>
        <v>2428.74</v>
      </c>
      <c r="U8" s="153">
        <f t="shared" si="10"/>
        <v>10915.14</v>
      </c>
      <c r="V8" s="154">
        <v>10915.0</v>
      </c>
      <c r="W8" s="151">
        <v>4.08</v>
      </c>
      <c r="X8" s="161">
        <v>101610.0</v>
      </c>
      <c r="Y8" s="152">
        <f t="shared" si="12"/>
        <v>2120</v>
      </c>
      <c r="Z8" s="15">
        <f t="shared" si="13"/>
        <v>8649.6</v>
      </c>
      <c r="AA8" s="151">
        <v>2.06</v>
      </c>
      <c r="AB8" s="161">
        <v>50710.0</v>
      </c>
      <c r="AC8" s="152">
        <f t="shared" si="15"/>
        <v>1362</v>
      </c>
      <c r="AD8" s="15">
        <f t="shared" si="16"/>
        <v>2805.72</v>
      </c>
      <c r="AE8" s="153">
        <f t="shared" si="17"/>
        <v>11455.32</v>
      </c>
      <c r="AF8" s="154">
        <v>11455.0</v>
      </c>
      <c r="AG8" s="151">
        <v>4.08</v>
      </c>
      <c r="AH8" s="161">
        <v>102670.0</v>
      </c>
      <c r="AI8" s="155">
        <f t="shared" si="19"/>
        <v>1060</v>
      </c>
      <c r="AJ8" s="15">
        <f t="shared" si="51"/>
        <v>4324.8</v>
      </c>
      <c r="AK8" s="151">
        <v>2.06</v>
      </c>
      <c r="AL8" s="161">
        <v>51291.0</v>
      </c>
      <c r="AM8" s="155">
        <f t="shared" si="21"/>
        <v>581</v>
      </c>
      <c r="AN8" s="15">
        <f t="shared" si="52"/>
        <v>1196.86</v>
      </c>
      <c r="AO8" s="156">
        <f t="shared" si="22"/>
        <v>5521.66</v>
      </c>
      <c r="AP8" s="154">
        <v>5522.0</v>
      </c>
      <c r="AQ8" s="151">
        <v>4.08</v>
      </c>
      <c r="AR8" s="161">
        <v>103308.0</v>
      </c>
      <c r="AS8" s="152">
        <f t="shared" si="24"/>
        <v>638</v>
      </c>
      <c r="AT8" s="15">
        <f t="shared" si="25"/>
        <v>2603.04</v>
      </c>
      <c r="AU8" s="151">
        <v>2.06</v>
      </c>
      <c r="AV8" s="161">
        <v>51615.0</v>
      </c>
      <c r="AW8" s="152">
        <f t="shared" si="27"/>
        <v>324</v>
      </c>
      <c r="AX8" s="15">
        <f t="shared" si="28"/>
        <v>667.44</v>
      </c>
      <c r="AY8" s="156">
        <f t="shared" si="29"/>
        <v>3270.48</v>
      </c>
      <c r="AZ8" s="154">
        <v>3270.0</v>
      </c>
      <c r="BA8" s="151">
        <v>4.08</v>
      </c>
      <c r="BB8" s="161">
        <v>103820.0</v>
      </c>
      <c r="BC8" s="152">
        <f t="shared" si="31"/>
        <v>512</v>
      </c>
      <c r="BD8" s="15">
        <f t="shared" si="32"/>
        <v>2088.96</v>
      </c>
      <c r="BE8" s="151">
        <v>2.06</v>
      </c>
      <c r="BF8" s="161">
        <v>51875.0</v>
      </c>
      <c r="BG8" s="152">
        <f t="shared" si="34"/>
        <v>260</v>
      </c>
      <c r="BH8" s="15">
        <f t="shared" si="35"/>
        <v>535.6</v>
      </c>
      <c r="BI8" s="156">
        <f t="shared" si="36"/>
        <v>2624.56</v>
      </c>
      <c r="BJ8" s="154">
        <v>2625.0</v>
      </c>
      <c r="BK8" s="151">
        <v>4.28</v>
      </c>
      <c r="BL8" s="161">
        <v>104174.0</v>
      </c>
      <c r="BM8" s="152">
        <f t="shared" si="38"/>
        <v>354</v>
      </c>
      <c r="BN8" s="15">
        <f t="shared" si="39"/>
        <v>1515.12</v>
      </c>
      <c r="BO8" s="151">
        <v>2.23</v>
      </c>
      <c r="BP8" s="161">
        <v>52067.0</v>
      </c>
      <c r="BQ8" s="152">
        <f t="shared" si="41"/>
        <v>192</v>
      </c>
      <c r="BR8" s="15">
        <f t="shared" si="42"/>
        <v>428.16</v>
      </c>
      <c r="BS8" s="156">
        <f t="shared" si="43"/>
        <v>1943.28</v>
      </c>
      <c r="BT8" s="154">
        <v>1943.0</v>
      </c>
      <c r="BU8" s="151">
        <v>4.28</v>
      </c>
      <c r="BV8" s="161">
        <v>104467.0</v>
      </c>
      <c r="BW8" s="152">
        <f t="shared" si="45"/>
        <v>293</v>
      </c>
      <c r="BX8" s="15">
        <f t="shared" si="46"/>
        <v>1254.04</v>
      </c>
      <c r="BY8" s="151">
        <v>2.23</v>
      </c>
      <c r="BZ8" s="161">
        <v>52250.0</v>
      </c>
      <c r="CA8" s="152">
        <f t="shared" si="48"/>
        <v>183</v>
      </c>
      <c r="CB8" s="15">
        <f t="shared" si="49"/>
        <v>408.09</v>
      </c>
      <c r="CC8" s="156">
        <f t="shared" si="50"/>
        <v>1662.13</v>
      </c>
      <c r="CD8" s="154">
        <v>1662.0</v>
      </c>
      <c r="CE8" s="151"/>
      <c r="CF8" s="161"/>
      <c r="CG8" s="155"/>
      <c r="CH8" s="15"/>
      <c r="CI8" s="151"/>
      <c r="CJ8" s="161"/>
      <c r="CK8" s="155"/>
      <c r="CL8" s="15"/>
      <c r="CM8" s="156"/>
      <c r="CN8" s="154"/>
      <c r="CO8" s="151"/>
      <c r="CP8" s="161"/>
      <c r="CQ8" s="152"/>
      <c r="CR8" s="15"/>
      <c r="CS8" s="151"/>
      <c r="CT8" s="161"/>
      <c r="CU8" s="152"/>
      <c r="CV8" s="15"/>
      <c r="CW8" s="156"/>
      <c r="CX8" s="154"/>
      <c r="CY8" s="151"/>
      <c r="CZ8" s="161"/>
      <c r="DA8" s="152"/>
      <c r="DB8" s="157"/>
      <c r="DC8" s="151"/>
      <c r="DD8" s="161"/>
      <c r="DE8" s="152"/>
      <c r="DF8" s="157"/>
      <c r="DG8" s="158"/>
      <c r="DH8" s="154"/>
      <c r="DI8" s="151"/>
      <c r="DJ8" s="152"/>
      <c r="DK8" s="152"/>
      <c r="DL8" s="157"/>
      <c r="DM8" s="151"/>
      <c r="DN8" s="152"/>
      <c r="DO8" s="152"/>
      <c r="DP8" s="157"/>
      <c r="DQ8" s="156"/>
      <c r="DR8" s="156"/>
      <c r="DS8" s="159"/>
      <c r="DT8" s="160"/>
      <c r="DU8" s="34"/>
    </row>
    <row r="9" ht="12.75" customHeight="1">
      <c r="A9" s="48" t="s">
        <v>79</v>
      </c>
      <c r="B9" s="36" t="s">
        <v>80</v>
      </c>
      <c r="C9" s="151">
        <v>4.08</v>
      </c>
      <c r="D9" s="161">
        <v>44113.0</v>
      </c>
      <c r="E9" s="152">
        <f>D9-43205</f>
        <v>908</v>
      </c>
      <c r="F9" s="15">
        <f t="shared" si="1"/>
        <v>3704.64</v>
      </c>
      <c r="G9" s="151">
        <v>2.06</v>
      </c>
      <c r="H9" s="161">
        <v>20396.0</v>
      </c>
      <c r="I9" s="152">
        <f>H9-19941</f>
        <v>455</v>
      </c>
      <c r="J9" s="15">
        <f t="shared" si="2"/>
        <v>937.3</v>
      </c>
      <c r="K9" s="153">
        <f t="shared" si="3"/>
        <v>4641.94</v>
      </c>
      <c r="L9" s="154">
        <v>4642.0</v>
      </c>
      <c r="M9" s="151">
        <v>4.08</v>
      </c>
      <c r="N9" s="161">
        <v>44921.0</v>
      </c>
      <c r="O9" s="155">
        <f t="shared" si="5"/>
        <v>808</v>
      </c>
      <c r="P9" s="15">
        <f t="shared" si="6"/>
        <v>3296.64</v>
      </c>
      <c r="Q9" s="151">
        <v>2.06</v>
      </c>
      <c r="R9" s="161">
        <v>20801.0</v>
      </c>
      <c r="S9" s="155">
        <f t="shared" si="8"/>
        <v>405</v>
      </c>
      <c r="T9" s="15">
        <f t="shared" si="9"/>
        <v>834.3</v>
      </c>
      <c r="U9" s="153">
        <f t="shared" si="10"/>
        <v>4130.94</v>
      </c>
      <c r="V9" s="154">
        <v>4131.0</v>
      </c>
      <c r="W9" s="151">
        <v>4.08</v>
      </c>
      <c r="X9" s="161">
        <v>45929.0</v>
      </c>
      <c r="Y9" s="152">
        <f t="shared" si="12"/>
        <v>1008</v>
      </c>
      <c r="Z9" s="15">
        <f t="shared" si="13"/>
        <v>4112.64</v>
      </c>
      <c r="AA9" s="151">
        <v>2.06</v>
      </c>
      <c r="AB9" s="161">
        <v>21316.0</v>
      </c>
      <c r="AC9" s="152">
        <f t="shared" si="15"/>
        <v>515</v>
      </c>
      <c r="AD9" s="15">
        <f t="shared" si="16"/>
        <v>1060.9</v>
      </c>
      <c r="AE9" s="153">
        <f t="shared" si="17"/>
        <v>5173.54</v>
      </c>
      <c r="AF9" s="154">
        <v>5174.0</v>
      </c>
      <c r="AG9" s="151">
        <v>4.08</v>
      </c>
      <c r="AH9" s="161">
        <v>46500.0</v>
      </c>
      <c r="AI9" s="155">
        <f t="shared" si="19"/>
        <v>571</v>
      </c>
      <c r="AJ9" s="15">
        <f t="shared" si="51"/>
        <v>2329.68</v>
      </c>
      <c r="AK9" s="151">
        <v>2.06</v>
      </c>
      <c r="AL9" s="161">
        <v>21616.0</v>
      </c>
      <c r="AM9" s="155">
        <f t="shared" si="21"/>
        <v>300</v>
      </c>
      <c r="AN9" s="15">
        <f t="shared" si="52"/>
        <v>618</v>
      </c>
      <c r="AO9" s="156">
        <f t="shared" si="22"/>
        <v>2947.68</v>
      </c>
      <c r="AP9" s="154">
        <v>2948.0</v>
      </c>
      <c r="AQ9" s="151">
        <v>4.08</v>
      </c>
      <c r="AR9" s="161">
        <v>46812.0</v>
      </c>
      <c r="AS9" s="152">
        <f t="shared" si="24"/>
        <v>312</v>
      </c>
      <c r="AT9" s="15">
        <f t="shared" si="25"/>
        <v>1272.96</v>
      </c>
      <c r="AU9" s="151">
        <v>2.06</v>
      </c>
      <c r="AV9" s="161">
        <v>21770.0</v>
      </c>
      <c r="AW9" s="152">
        <f t="shared" si="27"/>
        <v>154</v>
      </c>
      <c r="AX9" s="15">
        <f t="shared" si="28"/>
        <v>317.24</v>
      </c>
      <c r="AY9" s="156">
        <f t="shared" si="29"/>
        <v>1590.2</v>
      </c>
      <c r="AZ9" s="44">
        <v>1590.0</v>
      </c>
      <c r="BA9" s="151">
        <v>4.08</v>
      </c>
      <c r="BB9" s="161">
        <v>47170.0</v>
      </c>
      <c r="BC9" s="152">
        <f t="shared" si="31"/>
        <v>358</v>
      </c>
      <c r="BD9" s="15">
        <f t="shared" si="32"/>
        <v>1460.64</v>
      </c>
      <c r="BE9" s="151">
        <v>2.06</v>
      </c>
      <c r="BF9" s="161">
        <v>21936.0</v>
      </c>
      <c r="BG9" s="152">
        <f t="shared" si="34"/>
        <v>166</v>
      </c>
      <c r="BH9" s="15">
        <f t="shared" si="35"/>
        <v>341.96</v>
      </c>
      <c r="BI9" s="156">
        <f t="shared" si="36"/>
        <v>1802.6</v>
      </c>
      <c r="BJ9" s="154">
        <v>1803.0</v>
      </c>
      <c r="BK9" s="151">
        <v>4.28</v>
      </c>
      <c r="BL9" s="161">
        <v>47559.0</v>
      </c>
      <c r="BM9" s="152">
        <f t="shared" si="38"/>
        <v>389</v>
      </c>
      <c r="BN9" s="15">
        <f t="shared" si="39"/>
        <v>1664.92</v>
      </c>
      <c r="BO9" s="151">
        <v>2.23</v>
      </c>
      <c r="BP9" s="161">
        <v>22094.0</v>
      </c>
      <c r="BQ9" s="152">
        <f t="shared" si="41"/>
        <v>158</v>
      </c>
      <c r="BR9" s="15">
        <f t="shared" si="42"/>
        <v>352.34</v>
      </c>
      <c r="BS9" s="156">
        <f t="shared" si="43"/>
        <v>2017.26</v>
      </c>
      <c r="BT9" s="154">
        <v>2017.0</v>
      </c>
      <c r="BU9" s="151">
        <v>4.28</v>
      </c>
      <c r="BV9" s="161">
        <v>47889.0</v>
      </c>
      <c r="BW9" s="152">
        <f t="shared" si="45"/>
        <v>330</v>
      </c>
      <c r="BX9" s="15">
        <f t="shared" si="46"/>
        <v>1412.4</v>
      </c>
      <c r="BY9" s="151">
        <v>2.23</v>
      </c>
      <c r="BZ9" s="161">
        <v>22211.0</v>
      </c>
      <c r="CA9" s="152">
        <f t="shared" si="48"/>
        <v>117</v>
      </c>
      <c r="CB9" s="15">
        <f t="shared" si="49"/>
        <v>260.91</v>
      </c>
      <c r="CC9" s="156">
        <f t="shared" si="50"/>
        <v>1673.31</v>
      </c>
      <c r="CD9" s="154">
        <v>1673.0</v>
      </c>
      <c r="CE9" s="151"/>
      <c r="CF9" s="161"/>
      <c r="CG9" s="155"/>
      <c r="CH9" s="15"/>
      <c r="CI9" s="151"/>
      <c r="CJ9" s="161"/>
      <c r="CK9" s="155"/>
      <c r="CL9" s="15"/>
      <c r="CM9" s="156"/>
      <c r="CN9" s="154"/>
      <c r="CO9" s="151"/>
      <c r="CP9" s="161"/>
      <c r="CQ9" s="152"/>
      <c r="CR9" s="15"/>
      <c r="CS9" s="151"/>
      <c r="CT9" s="161"/>
      <c r="CU9" s="152"/>
      <c r="CV9" s="15"/>
      <c r="CW9" s="156"/>
      <c r="CX9" s="162"/>
      <c r="CY9" s="151"/>
      <c r="CZ9" s="161"/>
      <c r="DA9" s="152"/>
      <c r="DB9" s="157"/>
      <c r="DC9" s="151"/>
      <c r="DD9" s="161"/>
      <c r="DE9" s="152"/>
      <c r="DF9" s="157"/>
      <c r="DG9" s="158"/>
      <c r="DH9" s="156"/>
      <c r="DI9" s="151"/>
      <c r="DJ9" s="152"/>
      <c r="DK9" s="152"/>
      <c r="DL9" s="157"/>
      <c r="DM9" s="151"/>
      <c r="DN9" s="152"/>
      <c r="DO9" s="152"/>
      <c r="DP9" s="157"/>
      <c r="DQ9" s="156"/>
      <c r="DR9" s="156"/>
      <c r="DS9" s="159"/>
      <c r="DT9" s="160"/>
      <c r="DU9" s="34"/>
    </row>
    <row r="10" ht="12.75" customHeight="1">
      <c r="A10" s="48" t="s">
        <v>82</v>
      </c>
      <c r="B10" s="36" t="s">
        <v>83</v>
      </c>
      <c r="C10" s="151">
        <v>4.08</v>
      </c>
      <c r="D10" s="161">
        <v>18722.0</v>
      </c>
      <c r="E10" s="152">
        <f>D10-18630</f>
        <v>92</v>
      </c>
      <c r="F10" s="15">
        <f t="shared" si="1"/>
        <v>375.36</v>
      </c>
      <c r="G10" s="151">
        <v>2.06</v>
      </c>
      <c r="H10" s="161">
        <v>6858.0</v>
      </c>
      <c r="I10" s="152">
        <f>H10-6813</f>
        <v>45</v>
      </c>
      <c r="J10" s="15">
        <f t="shared" si="2"/>
        <v>92.7</v>
      </c>
      <c r="K10" s="153">
        <f t="shared" si="3"/>
        <v>468.06</v>
      </c>
      <c r="L10" s="154">
        <v>468.0</v>
      </c>
      <c r="M10" s="151">
        <v>4.08</v>
      </c>
      <c r="N10" s="161">
        <v>18794.0</v>
      </c>
      <c r="O10" s="155">
        <f t="shared" si="5"/>
        <v>72</v>
      </c>
      <c r="P10" s="15">
        <f t="shared" si="6"/>
        <v>293.76</v>
      </c>
      <c r="Q10" s="151">
        <v>2.06</v>
      </c>
      <c r="R10" s="161">
        <v>6893.0</v>
      </c>
      <c r="S10" s="155">
        <f t="shared" si="8"/>
        <v>35</v>
      </c>
      <c r="T10" s="15">
        <f t="shared" si="9"/>
        <v>72.1</v>
      </c>
      <c r="U10" s="153">
        <f t="shared" si="10"/>
        <v>365.86</v>
      </c>
      <c r="V10" s="154">
        <v>366.0</v>
      </c>
      <c r="W10" s="151">
        <v>4.08</v>
      </c>
      <c r="X10" s="161">
        <v>18881.0</v>
      </c>
      <c r="Y10" s="152">
        <f t="shared" si="12"/>
        <v>87</v>
      </c>
      <c r="Z10" s="15">
        <f t="shared" si="13"/>
        <v>354.96</v>
      </c>
      <c r="AA10" s="151">
        <v>2.06</v>
      </c>
      <c r="AB10" s="161">
        <v>6935.0</v>
      </c>
      <c r="AC10" s="152">
        <f t="shared" si="15"/>
        <v>42</v>
      </c>
      <c r="AD10" s="15">
        <f t="shared" si="16"/>
        <v>86.52</v>
      </c>
      <c r="AE10" s="153">
        <f t="shared" si="17"/>
        <v>441.48</v>
      </c>
      <c r="AF10" s="154">
        <v>441.0</v>
      </c>
      <c r="AG10" s="151">
        <v>4.08</v>
      </c>
      <c r="AH10" s="161">
        <v>18941.0</v>
      </c>
      <c r="AI10" s="155">
        <f t="shared" si="19"/>
        <v>60</v>
      </c>
      <c r="AJ10" s="15">
        <f t="shared" si="51"/>
        <v>244.8</v>
      </c>
      <c r="AK10" s="151">
        <v>2.06</v>
      </c>
      <c r="AL10" s="161">
        <v>6968.0</v>
      </c>
      <c r="AM10" s="155">
        <f t="shared" si="21"/>
        <v>33</v>
      </c>
      <c r="AN10" s="15">
        <f t="shared" si="52"/>
        <v>67.98</v>
      </c>
      <c r="AO10" s="156">
        <f t="shared" si="22"/>
        <v>312.78</v>
      </c>
      <c r="AP10" s="154">
        <v>313.0</v>
      </c>
      <c r="AQ10" s="151">
        <v>4.08</v>
      </c>
      <c r="AR10" s="161">
        <v>19140.0</v>
      </c>
      <c r="AS10" s="152">
        <f t="shared" si="24"/>
        <v>199</v>
      </c>
      <c r="AT10" s="15">
        <f t="shared" si="25"/>
        <v>811.92</v>
      </c>
      <c r="AU10" s="151">
        <v>2.06</v>
      </c>
      <c r="AV10" s="161">
        <v>7039.0</v>
      </c>
      <c r="AW10" s="152">
        <f t="shared" si="27"/>
        <v>71</v>
      </c>
      <c r="AX10" s="15">
        <f t="shared" si="28"/>
        <v>146.26</v>
      </c>
      <c r="AY10" s="156">
        <f t="shared" si="29"/>
        <v>958.18</v>
      </c>
      <c r="AZ10" s="154">
        <v>958.0</v>
      </c>
      <c r="BA10" s="151">
        <v>4.08</v>
      </c>
      <c r="BB10" s="161">
        <v>19517.0</v>
      </c>
      <c r="BC10" s="152">
        <f t="shared" si="31"/>
        <v>377</v>
      </c>
      <c r="BD10" s="15">
        <f t="shared" si="32"/>
        <v>1538.16</v>
      </c>
      <c r="BE10" s="151">
        <v>2.06</v>
      </c>
      <c r="BF10" s="161">
        <v>7168.0</v>
      </c>
      <c r="BG10" s="152">
        <f t="shared" si="34"/>
        <v>129</v>
      </c>
      <c r="BH10" s="15">
        <f t="shared" si="35"/>
        <v>265.74</v>
      </c>
      <c r="BI10" s="156">
        <f t="shared" si="36"/>
        <v>1803.9</v>
      </c>
      <c r="BJ10" s="154">
        <v>1804.0</v>
      </c>
      <c r="BK10" s="151">
        <v>4.28</v>
      </c>
      <c r="BL10" s="161">
        <v>19821.0</v>
      </c>
      <c r="BM10" s="152">
        <f t="shared" si="38"/>
        <v>304</v>
      </c>
      <c r="BN10" s="15">
        <f t="shared" si="39"/>
        <v>1301.12</v>
      </c>
      <c r="BO10" s="151">
        <v>2.23</v>
      </c>
      <c r="BP10" s="161">
        <v>7246.0</v>
      </c>
      <c r="BQ10" s="152">
        <f t="shared" si="41"/>
        <v>78</v>
      </c>
      <c r="BR10" s="15">
        <f t="shared" si="42"/>
        <v>173.94</v>
      </c>
      <c r="BS10" s="156">
        <f t="shared" si="43"/>
        <v>1475.06</v>
      </c>
      <c r="BT10" s="154"/>
      <c r="BU10" s="151">
        <v>4.28</v>
      </c>
      <c r="BV10" s="161">
        <v>19956.0</v>
      </c>
      <c r="BW10" s="152">
        <f t="shared" si="45"/>
        <v>135</v>
      </c>
      <c r="BX10" s="15">
        <f t="shared" si="46"/>
        <v>577.8</v>
      </c>
      <c r="BY10" s="151">
        <v>2.23</v>
      </c>
      <c r="BZ10" s="161">
        <v>7298.0</v>
      </c>
      <c r="CA10" s="152">
        <f t="shared" si="48"/>
        <v>52</v>
      </c>
      <c r="CB10" s="15">
        <f t="shared" si="49"/>
        <v>115.96</v>
      </c>
      <c r="CC10" s="156">
        <f t="shared" si="50"/>
        <v>693.76</v>
      </c>
      <c r="CD10" s="154"/>
      <c r="CE10" s="151"/>
      <c r="CF10" s="161"/>
      <c r="CG10" s="155"/>
      <c r="CH10" s="15"/>
      <c r="CI10" s="151"/>
      <c r="CJ10" s="161"/>
      <c r="CK10" s="155"/>
      <c r="CL10" s="15"/>
      <c r="CM10" s="156"/>
      <c r="CN10" s="154"/>
      <c r="CO10" s="151"/>
      <c r="CP10" s="161"/>
      <c r="CQ10" s="152"/>
      <c r="CR10" s="15"/>
      <c r="CS10" s="151"/>
      <c r="CT10" s="161"/>
      <c r="CU10" s="152"/>
      <c r="CV10" s="15"/>
      <c r="CW10" s="156"/>
      <c r="CX10" s="154"/>
      <c r="CY10" s="151"/>
      <c r="CZ10" s="161"/>
      <c r="DA10" s="152"/>
      <c r="DB10" s="157"/>
      <c r="DC10" s="151"/>
      <c r="DD10" s="161"/>
      <c r="DE10" s="152"/>
      <c r="DF10" s="157"/>
      <c r="DG10" s="158"/>
      <c r="DH10" s="156"/>
      <c r="DI10" s="151"/>
      <c r="DJ10" s="152"/>
      <c r="DK10" s="152"/>
      <c r="DL10" s="157"/>
      <c r="DM10" s="151"/>
      <c r="DN10" s="152"/>
      <c r="DO10" s="152"/>
      <c r="DP10" s="157"/>
      <c r="DQ10" s="156"/>
      <c r="DR10" s="156"/>
      <c r="DS10" s="159"/>
      <c r="DT10" s="160"/>
      <c r="DU10" s="34"/>
    </row>
    <row r="11" ht="12.75" customHeight="1">
      <c r="A11" s="48" t="s">
        <v>85</v>
      </c>
      <c r="B11" s="36" t="s">
        <v>86</v>
      </c>
      <c r="C11" s="151">
        <v>4.08</v>
      </c>
      <c r="D11" s="161">
        <v>42457.0</v>
      </c>
      <c r="E11" s="152">
        <f>D11-41751</f>
        <v>706</v>
      </c>
      <c r="F11" s="15">
        <f t="shared" si="1"/>
        <v>2880.48</v>
      </c>
      <c r="G11" s="151">
        <v>2.06</v>
      </c>
      <c r="H11" s="161">
        <v>17300.0</v>
      </c>
      <c r="I11" s="152">
        <f>H11-17129</f>
        <v>171</v>
      </c>
      <c r="J11" s="15">
        <f t="shared" si="2"/>
        <v>352.26</v>
      </c>
      <c r="K11" s="153">
        <f t="shared" si="3"/>
        <v>3232.74</v>
      </c>
      <c r="L11" s="154">
        <v>3233.0</v>
      </c>
      <c r="M11" s="151">
        <v>4.08</v>
      </c>
      <c r="N11" s="161">
        <v>43032.0</v>
      </c>
      <c r="O11" s="155">
        <f t="shared" si="5"/>
        <v>575</v>
      </c>
      <c r="P11" s="15">
        <f t="shared" si="6"/>
        <v>2346</v>
      </c>
      <c r="Q11" s="151">
        <v>2.06</v>
      </c>
      <c r="R11" s="161">
        <v>17431.0</v>
      </c>
      <c r="S11" s="155">
        <f t="shared" si="8"/>
        <v>131</v>
      </c>
      <c r="T11" s="15">
        <f t="shared" si="9"/>
        <v>269.86</v>
      </c>
      <c r="U11" s="153">
        <f t="shared" si="10"/>
        <v>2615.86</v>
      </c>
      <c r="V11" s="154">
        <v>2616.0</v>
      </c>
      <c r="W11" s="151">
        <v>4.08</v>
      </c>
      <c r="X11" s="161">
        <v>43432.0</v>
      </c>
      <c r="Y11" s="152">
        <f t="shared" si="12"/>
        <v>400</v>
      </c>
      <c r="Z11" s="15">
        <f t="shared" si="13"/>
        <v>1632</v>
      </c>
      <c r="AA11" s="151">
        <v>2.06</v>
      </c>
      <c r="AB11" s="161">
        <v>17564.0</v>
      </c>
      <c r="AC11" s="152">
        <f t="shared" si="15"/>
        <v>133</v>
      </c>
      <c r="AD11" s="15">
        <f t="shared" si="16"/>
        <v>273.98</v>
      </c>
      <c r="AE11" s="153">
        <f t="shared" si="17"/>
        <v>1905.98</v>
      </c>
      <c r="AF11" s="154">
        <v>1906.0</v>
      </c>
      <c r="AG11" s="151">
        <v>4.08</v>
      </c>
      <c r="AH11" s="161">
        <v>43852.0</v>
      </c>
      <c r="AI11" s="155">
        <f t="shared" si="19"/>
        <v>420</v>
      </c>
      <c r="AJ11" s="15">
        <f t="shared" si="51"/>
        <v>1713.6</v>
      </c>
      <c r="AK11" s="151">
        <v>2.06</v>
      </c>
      <c r="AL11" s="161">
        <v>17736.0</v>
      </c>
      <c r="AM11" s="155">
        <f t="shared" si="21"/>
        <v>172</v>
      </c>
      <c r="AN11" s="15">
        <f t="shared" si="52"/>
        <v>354.32</v>
      </c>
      <c r="AO11" s="156">
        <f t="shared" si="22"/>
        <v>2067.92</v>
      </c>
      <c r="AP11" s="154">
        <v>2068.0</v>
      </c>
      <c r="AQ11" s="151">
        <v>4.08</v>
      </c>
      <c r="AR11" s="161">
        <v>44173.0</v>
      </c>
      <c r="AS11" s="152">
        <f t="shared" si="24"/>
        <v>321</v>
      </c>
      <c r="AT11" s="15">
        <f t="shared" si="25"/>
        <v>1309.68</v>
      </c>
      <c r="AU11" s="151">
        <v>2.06</v>
      </c>
      <c r="AV11" s="161">
        <v>17856.0</v>
      </c>
      <c r="AW11" s="152">
        <f t="shared" si="27"/>
        <v>120</v>
      </c>
      <c r="AX11" s="15">
        <f t="shared" si="28"/>
        <v>247.2</v>
      </c>
      <c r="AY11" s="156">
        <f t="shared" si="29"/>
        <v>1556.88</v>
      </c>
      <c r="AZ11" s="154">
        <v>1557.0</v>
      </c>
      <c r="BA11" s="151">
        <v>4.08</v>
      </c>
      <c r="BB11" s="161">
        <v>44436.0</v>
      </c>
      <c r="BC11" s="152">
        <f t="shared" si="31"/>
        <v>263</v>
      </c>
      <c r="BD11" s="15">
        <f t="shared" si="32"/>
        <v>1073.04</v>
      </c>
      <c r="BE11" s="151">
        <v>2.06</v>
      </c>
      <c r="BF11" s="161">
        <v>17958.0</v>
      </c>
      <c r="BG11" s="152">
        <f t="shared" si="34"/>
        <v>102</v>
      </c>
      <c r="BH11" s="15">
        <f t="shared" si="35"/>
        <v>210.12</v>
      </c>
      <c r="BI11" s="156">
        <f t="shared" si="36"/>
        <v>1283.16</v>
      </c>
      <c r="BJ11" s="154">
        <v>1283.0</v>
      </c>
      <c r="BK11" s="151">
        <v>4.28</v>
      </c>
      <c r="BL11" s="161">
        <v>44796.0</v>
      </c>
      <c r="BM11" s="152">
        <f t="shared" si="38"/>
        <v>360</v>
      </c>
      <c r="BN11" s="15">
        <f t="shared" si="39"/>
        <v>1540.8</v>
      </c>
      <c r="BO11" s="151">
        <v>2.23</v>
      </c>
      <c r="BP11" s="161">
        <v>18072.0</v>
      </c>
      <c r="BQ11" s="152">
        <f t="shared" si="41"/>
        <v>114</v>
      </c>
      <c r="BR11" s="15">
        <f t="shared" si="42"/>
        <v>254.22</v>
      </c>
      <c r="BS11" s="156">
        <f t="shared" si="43"/>
        <v>1795.02</v>
      </c>
      <c r="BT11" s="167">
        <v>1283.0</v>
      </c>
      <c r="BU11" s="151">
        <v>4.28</v>
      </c>
      <c r="BV11" s="161">
        <v>45148.0</v>
      </c>
      <c r="BW11" s="152">
        <f t="shared" si="45"/>
        <v>352</v>
      </c>
      <c r="BX11" s="15">
        <f t="shared" si="46"/>
        <v>1506.56</v>
      </c>
      <c r="BY11" s="151">
        <v>2.23</v>
      </c>
      <c r="BZ11" s="161">
        <v>18182.0</v>
      </c>
      <c r="CA11" s="152">
        <f t="shared" si="48"/>
        <v>110</v>
      </c>
      <c r="CB11" s="15">
        <f t="shared" si="49"/>
        <v>245.3</v>
      </c>
      <c r="CC11" s="156">
        <f t="shared" si="50"/>
        <v>1751.86</v>
      </c>
      <c r="CD11" s="154"/>
      <c r="CE11" s="151"/>
      <c r="CF11" s="161"/>
      <c r="CG11" s="155"/>
      <c r="CH11" s="15"/>
      <c r="CI11" s="151"/>
      <c r="CJ11" s="161"/>
      <c r="CK11" s="155"/>
      <c r="CL11" s="15"/>
      <c r="CM11" s="156"/>
      <c r="CN11" s="154"/>
      <c r="CO11" s="151"/>
      <c r="CP11" s="161"/>
      <c r="CQ11" s="152"/>
      <c r="CR11" s="15"/>
      <c r="CS11" s="151"/>
      <c r="CT11" s="161"/>
      <c r="CU11" s="152"/>
      <c r="CV11" s="15"/>
      <c r="CW11" s="156"/>
      <c r="CX11" s="154"/>
      <c r="CY11" s="151"/>
      <c r="CZ11" s="161"/>
      <c r="DA11" s="152"/>
      <c r="DB11" s="157"/>
      <c r="DC11" s="151"/>
      <c r="DD11" s="161"/>
      <c r="DE11" s="152"/>
      <c r="DF11" s="157"/>
      <c r="DG11" s="158"/>
      <c r="DH11" s="154"/>
      <c r="DI11" s="151"/>
      <c r="DJ11" s="152"/>
      <c r="DK11" s="152"/>
      <c r="DL11" s="157"/>
      <c r="DM11" s="151"/>
      <c r="DN11" s="152"/>
      <c r="DO11" s="152"/>
      <c r="DP11" s="157"/>
      <c r="DQ11" s="156"/>
      <c r="DR11" s="156"/>
      <c r="DS11" s="159"/>
      <c r="DT11" s="160"/>
      <c r="DU11" s="34"/>
    </row>
    <row r="12" ht="12.75" customHeight="1">
      <c r="A12" s="48" t="s">
        <v>87</v>
      </c>
      <c r="B12" s="36" t="s">
        <v>88</v>
      </c>
      <c r="C12" s="151">
        <v>4.08</v>
      </c>
      <c r="D12" s="152">
        <v>0.0</v>
      </c>
      <c r="E12" s="152">
        <f>D12-0</f>
        <v>0</v>
      </c>
      <c r="F12" s="15">
        <f t="shared" si="1"/>
        <v>0</v>
      </c>
      <c r="G12" s="151">
        <v>2.06</v>
      </c>
      <c r="H12" s="152">
        <v>0.0</v>
      </c>
      <c r="I12" s="152">
        <f>H12-0</f>
        <v>0</v>
      </c>
      <c r="J12" s="15">
        <f t="shared" si="2"/>
        <v>0</v>
      </c>
      <c r="K12" s="153">
        <f t="shared" si="3"/>
        <v>0</v>
      </c>
      <c r="L12" s="154">
        <v>0.0</v>
      </c>
      <c r="M12" s="151">
        <v>4.08</v>
      </c>
      <c r="N12" s="152">
        <f>D12</f>
        <v>0</v>
      </c>
      <c r="O12" s="155">
        <f t="shared" si="5"/>
        <v>0</v>
      </c>
      <c r="P12" s="15">
        <f t="shared" si="6"/>
        <v>0</v>
      </c>
      <c r="Q12" s="151">
        <v>2.06</v>
      </c>
      <c r="R12" s="152">
        <f>H12</f>
        <v>0</v>
      </c>
      <c r="S12" s="155">
        <f t="shared" si="8"/>
        <v>0</v>
      </c>
      <c r="T12" s="15">
        <f t="shared" si="9"/>
        <v>0</v>
      </c>
      <c r="U12" s="153">
        <f t="shared" si="10"/>
        <v>0</v>
      </c>
      <c r="V12" s="154">
        <v>0.0</v>
      </c>
      <c r="W12" s="151">
        <v>4.08</v>
      </c>
      <c r="X12" s="152">
        <f>N12</f>
        <v>0</v>
      </c>
      <c r="Y12" s="152">
        <f t="shared" si="12"/>
        <v>0</v>
      </c>
      <c r="Z12" s="15">
        <f t="shared" si="13"/>
        <v>0</v>
      </c>
      <c r="AA12" s="151">
        <v>2.06</v>
      </c>
      <c r="AB12" s="152">
        <f>R12</f>
        <v>0</v>
      </c>
      <c r="AC12" s="152">
        <f t="shared" si="15"/>
        <v>0</v>
      </c>
      <c r="AD12" s="15">
        <f t="shared" si="16"/>
        <v>0</v>
      </c>
      <c r="AE12" s="153">
        <f t="shared" si="17"/>
        <v>0</v>
      </c>
      <c r="AF12" s="154">
        <v>0.0</v>
      </c>
      <c r="AG12" s="151">
        <v>4.08</v>
      </c>
      <c r="AH12" s="152">
        <f>X12</f>
        <v>0</v>
      </c>
      <c r="AI12" s="155">
        <f t="shared" si="19"/>
        <v>0</v>
      </c>
      <c r="AJ12" s="15">
        <f t="shared" si="51"/>
        <v>0</v>
      </c>
      <c r="AK12" s="151">
        <v>2.06</v>
      </c>
      <c r="AL12" s="152">
        <f>AB12</f>
        <v>0</v>
      </c>
      <c r="AM12" s="155">
        <f t="shared" si="21"/>
        <v>0</v>
      </c>
      <c r="AN12" s="15">
        <f t="shared" si="52"/>
        <v>0</v>
      </c>
      <c r="AO12" s="156">
        <f t="shared" si="22"/>
        <v>0</v>
      </c>
      <c r="AP12" s="156"/>
      <c r="AQ12" s="151">
        <v>4.08</v>
      </c>
      <c r="AR12" s="152">
        <f>AH12</f>
        <v>0</v>
      </c>
      <c r="AS12" s="152">
        <f t="shared" si="24"/>
        <v>0</v>
      </c>
      <c r="AT12" s="15">
        <f t="shared" si="25"/>
        <v>0</v>
      </c>
      <c r="AU12" s="151">
        <v>2.06</v>
      </c>
      <c r="AV12" s="152">
        <f>AL12</f>
        <v>0</v>
      </c>
      <c r="AW12" s="152">
        <f t="shared" si="27"/>
        <v>0</v>
      </c>
      <c r="AX12" s="15">
        <f t="shared" si="28"/>
        <v>0</v>
      </c>
      <c r="AY12" s="156">
        <f t="shared" si="29"/>
        <v>0</v>
      </c>
      <c r="AZ12" s="154">
        <v>0.0</v>
      </c>
      <c r="BA12" s="151">
        <v>4.08</v>
      </c>
      <c r="BB12" s="152">
        <f>AR12</f>
        <v>0</v>
      </c>
      <c r="BC12" s="152">
        <f t="shared" si="31"/>
        <v>0</v>
      </c>
      <c r="BD12" s="15">
        <f t="shared" si="32"/>
        <v>0</v>
      </c>
      <c r="BE12" s="151">
        <v>2.06</v>
      </c>
      <c r="BF12" s="152">
        <f>AV12</f>
        <v>0</v>
      </c>
      <c r="BG12" s="152">
        <f t="shared" si="34"/>
        <v>0</v>
      </c>
      <c r="BH12" s="15">
        <f t="shared" si="35"/>
        <v>0</v>
      </c>
      <c r="BI12" s="156">
        <f t="shared" si="36"/>
        <v>0</v>
      </c>
      <c r="BJ12" s="156"/>
      <c r="BK12" s="151">
        <v>4.28</v>
      </c>
      <c r="BL12" s="152">
        <f>BB12</f>
        <v>0</v>
      </c>
      <c r="BM12" s="152">
        <f t="shared" si="38"/>
        <v>0</v>
      </c>
      <c r="BN12" s="15">
        <f t="shared" si="39"/>
        <v>0</v>
      </c>
      <c r="BO12" s="151">
        <v>2.23</v>
      </c>
      <c r="BP12" s="152">
        <f>BF12</f>
        <v>0</v>
      </c>
      <c r="BQ12" s="152">
        <f t="shared" si="41"/>
        <v>0</v>
      </c>
      <c r="BR12" s="15">
        <f t="shared" si="42"/>
        <v>0</v>
      </c>
      <c r="BS12" s="156">
        <f t="shared" si="43"/>
        <v>0</v>
      </c>
      <c r="BT12" s="156"/>
      <c r="BU12" s="151">
        <v>4.28</v>
      </c>
      <c r="BV12" s="152">
        <f>BL12</f>
        <v>0</v>
      </c>
      <c r="BW12" s="152">
        <f t="shared" si="45"/>
        <v>0</v>
      </c>
      <c r="BX12" s="15">
        <f t="shared" si="46"/>
        <v>0</v>
      </c>
      <c r="BY12" s="151">
        <v>2.23</v>
      </c>
      <c r="BZ12" s="152">
        <f>BP12</f>
        <v>0</v>
      </c>
      <c r="CA12" s="152">
        <f t="shared" si="48"/>
        <v>0</v>
      </c>
      <c r="CB12" s="15">
        <f t="shared" si="49"/>
        <v>0</v>
      </c>
      <c r="CC12" s="156">
        <f t="shared" si="50"/>
        <v>0</v>
      </c>
      <c r="CD12" s="156"/>
      <c r="CE12" s="151"/>
      <c r="CF12" s="152"/>
      <c r="CG12" s="155"/>
      <c r="CH12" s="15"/>
      <c r="CI12" s="151"/>
      <c r="CJ12" s="152"/>
      <c r="CK12" s="155"/>
      <c r="CL12" s="15"/>
      <c r="CM12" s="156"/>
      <c r="CN12" s="156"/>
      <c r="CO12" s="151"/>
      <c r="CP12" s="152"/>
      <c r="CQ12" s="152"/>
      <c r="CR12" s="15"/>
      <c r="CS12" s="151"/>
      <c r="CT12" s="152"/>
      <c r="CU12" s="152"/>
      <c r="CV12" s="15"/>
      <c r="CW12" s="156"/>
      <c r="CX12" s="156"/>
      <c r="CY12" s="151"/>
      <c r="CZ12" s="152"/>
      <c r="DA12" s="152"/>
      <c r="DB12" s="157"/>
      <c r="DC12" s="151"/>
      <c r="DD12" s="152"/>
      <c r="DE12" s="152"/>
      <c r="DF12" s="157"/>
      <c r="DG12" s="158"/>
      <c r="DH12" s="156"/>
      <c r="DI12" s="151"/>
      <c r="DJ12" s="152"/>
      <c r="DK12" s="152"/>
      <c r="DL12" s="157"/>
      <c r="DM12" s="151"/>
      <c r="DN12" s="152"/>
      <c r="DO12" s="152"/>
      <c r="DP12" s="157"/>
      <c r="DQ12" s="156"/>
      <c r="DR12" s="156"/>
      <c r="DS12" s="159"/>
      <c r="DT12" s="160"/>
      <c r="DU12" s="34"/>
    </row>
    <row r="13" ht="12.75" customHeight="1">
      <c r="A13" s="48" t="s">
        <v>89</v>
      </c>
      <c r="B13" s="36" t="s">
        <v>90</v>
      </c>
      <c r="C13" s="151">
        <v>4.08</v>
      </c>
      <c r="D13" s="161">
        <v>20379.0</v>
      </c>
      <c r="E13" s="152">
        <f>D13-19970</f>
        <v>409</v>
      </c>
      <c r="F13" s="15">
        <f t="shared" si="1"/>
        <v>1668.72</v>
      </c>
      <c r="G13" s="151">
        <v>2.06</v>
      </c>
      <c r="H13" s="161">
        <v>9909.0</v>
      </c>
      <c r="I13" s="152">
        <f>H13-9709</f>
        <v>200</v>
      </c>
      <c r="J13" s="15">
        <f t="shared" si="2"/>
        <v>412</v>
      </c>
      <c r="K13" s="153">
        <f t="shared" si="3"/>
        <v>2080.72</v>
      </c>
      <c r="L13" s="156"/>
      <c r="M13" s="151">
        <v>4.08</v>
      </c>
      <c r="N13" s="161">
        <v>20867.0</v>
      </c>
      <c r="O13" s="155">
        <f t="shared" si="5"/>
        <v>488</v>
      </c>
      <c r="P13" s="15">
        <f t="shared" si="6"/>
        <v>1991.04</v>
      </c>
      <c r="Q13" s="151">
        <v>2.06</v>
      </c>
      <c r="R13" s="161">
        <v>10156.0</v>
      </c>
      <c r="S13" s="155">
        <f t="shared" si="8"/>
        <v>247</v>
      </c>
      <c r="T13" s="15">
        <f t="shared" si="9"/>
        <v>508.82</v>
      </c>
      <c r="U13" s="153">
        <f t="shared" si="10"/>
        <v>2499.86</v>
      </c>
      <c r="V13" s="156"/>
      <c r="W13" s="151">
        <v>4.08</v>
      </c>
      <c r="X13" s="161">
        <v>21608.0</v>
      </c>
      <c r="Y13" s="152">
        <f t="shared" si="12"/>
        <v>741</v>
      </c>
      <c r="Z13" s="15">
        <f t="shared" si="13"/>
        <v>3023.28</v>
      </c>
      <c r="AA13" s="151">
        <v>2.06</v>
      </c>
      <c r="AB13" s="161">
        <v>10525.0</v>
      </c>
      <c r="AC13" s="152">
        <f t="shared" si="15"/>
        <v>369</v>
      </c>
      <c r="AD13" s="15">
        <f t="shared" si="16"/>
        <v>760.14</v>
      </c>
      <c r="AE13" s="153">
        <f t="shared" si="17"/>
        <v>3783.42</v>
      </c>
      <c r="AF13" s="156"/>
      <c r="AG13" s="151">
        <v>4.08</v>
      </c>
      <c r="AH13" s="161">
        <v>22479.0</v>
      </c>
      <c r="AI13" s="155">
        <f t="shared" si="19"/>
        <v>871</v>
      </c>
      <c r="AJ13" s="15">
        <f t="shared" si="51"/>
        <v>3553.68</v>
      </c>
      <c r="AK13" s="151">
        <v>2.06</v>
      </c>
      <c r="AL13" s="161">
        <v>10987.0</v>
      </c>
      <c r="AM13" s="155">
        <f t="shared" si="21"/>
        <v>462</v>
      </c>
      <c r="AN13" s="15">
        <f t="shared" si="52"/>
        <v>951.72</v>
      </c>
      <c r="AO13" s="156">
        <f t="shared" si="22"/>
        <v>4505.4</v>
      </c>
      <c r="AP13" s="156"/>
      <c r="AQ13" s="151">
        <v>4.08</v>
      </c>
      <c r="AR13" s="161">
        <v>22752.0</v>
      </c>
      <c r="AS13" s="152">
        <f t="shared" si="24"/>
        <v>273</v>
      </c>
      <c r="AT13" s="15">
        <f t="shared" si="25"/>
        <v>1113.84</v>
      </c>
      <c r="AU13" s="151">
        <v>2.06</v>
      </c>
      <c r="AV13" s="161">
        <v>11141.0</v>
      </c>
      <c r="AW13" s="152">
        <f t="shared" si="27"/>
        <v>154</v>
      </c>
      <c r="AX13" s="15">
        <f t="shared" si="28"/>
        <v>317.24</v>
      </c>
      <c r="AY13" s="156">
        <f t="shared" si="29"/>
        <v>1431.08</v>
      </c>
      <c r="AZ13" s="156"/>
      <c r="BA13" s="151">
        <v>4.08</v>
      </c>
      <c r="BB13" s="161">
        <v>23076.0</v>
      </c>
      <c r="BC13" s="152">
        <f t="shared" si="31"/>
        <v>324</v>
      </c>
      <c r="BD13" s="15">
        <f t="shared" si="32"/>
        <v>1321.92</v>
      </c>
      <c r="BE13" s="151">
        <v>2.06</v>
      </c>
      <c r="BF13" s="161">
        <v>11305.0</v>
      </c>
      <c r="BG13" s="152">
        <f t="shared" si="34"/>
        <v>164</v>
      </c>
      <c r="BH13" s="15">
        <f t="shared" si="35"/>
        <v>337.84</v>
      </c>
      <c r="BI13" s="156">
        <f t="shared" si="36"/>
        <v>1659.76</v>
      </c>
      <c r="BJ13" s="156"/>
      <c r="BK13" s="151">
        <v>4.28</v>
      </c>
      <c r="BL13" s="161">
        <v>23273.0</v>
      </c>
      <c r="BM13" s="152">
        <f t="shared" si="38"/>
        <v>197</v>
      </c>
      <c r="BN13" s="15">
        <f t="shared" si="39"/>
        <v>843.16</v>
      </c>
      <c r="BO13" s="151">
        <v>2.23</v>
      </c>
      <c r="BP13" s="161">
        <v>11406.0</v>
      </c>
      <c r="BQ13" s="152">
        <f t="shared" si="41"/>
        <v>101</v>
      </c>
      <c r="BR13" s="15">
        <f t="shared" si="42"/>
        <v>225.23</v>
      </c>
      <c r="BS13" s="156">
        <f t="shared" si="43"/>
        <v>1068.39</v>
      </c>
      <c r="BT13" s="156"/>
      <c r="BU13" s="151">
        <v>4.28</v>
      </c>
      <c r="BV13" s="161">
        <v>23459.0</v>
      </c>
      <c r="BW13" s="152">
        <f t="shared" si="45"/>
        <v>186</v>
      </c>
      <c r="BX13" s="15">
        <f t="shared" si="46"/>
        <v>796.08</v>
      </c>
      <c r="BY13" s="151">
        <v>2.23</v>
      </c>
      <c r="BZ13" s="161">
        <v>11498.0</v>
      </c>
      <c r="CA13" s="152">
        <f t="shared" si="48"/>
        <v>92</v>
      </c>
      <c r="CB13" s="15">
        <f t="shared" si="49"/>
        <v>205.16</v>
      </c>
      <c r="CC13" s="156">
        <f t="shared" si="50"/>
        <v>1001.24</v>
      </c>
      <c r="CD13" s="156"/>
      <c r="CE13" s="151"/>
      <c r="CF13" s="161"/>
      <c r="CG13" s="155"/>
      <c r="CH13" s="15"/>
      <c r="CI13" s="151"/>
      <c r="CJ13" s="161"/>
      <c r="CK13" s="155"/>
      <c r="CL13" s="15"/>
      <c r="CM13" s="156"/>
      <c r="CN13" s="154"/>
      <c r="CO13" s="151"/>
      <c r="CP13" s="161"/>
      <c r="CQ13" s="152"/>
      <c r="CR13" s="15"/>
      <c r="CS13" s="151"/>
      <c r="CT13" s="161"/>
      <c r="CU13" s="152"/>
      <c r="CV13" s="15"/>
      <c r="CW13" s="156"/>
      <c r="CX13" s="154"/>
      <c r="CY13" s="151"/>
      <c r="CZ13" s="161"/>
      <c r="DA13" s="152"/>
      <c r="DB13" s="157"/>
      <c r="DC13" s="151"/>
      <c r="DD13" s="161"/>
      <c r="DE13" s="152"/>
      <c r="DF13" s="157"/>
      <c r="DG13" s="158"/>
      <c r="DH13" s="154"/>
      <c r="DI13" s="151"/>
      <c r="DJ13" s="152"/>
      <c r="DK13" s="152"/>
      <c r="DL13" s="157"/>
      <c r="DM13" s="151"/>
      <c r="DN13" s="152"/>
      <c r="DO13" s="152"/>
      <c r="DP13" s="157"/>
      <c r="DQ13" s="156"/>
      <c r="DR13" s="156"/>
      <c r="DS13" s="159"/>
      <c r="DT13" s="160"/>
      <c r="DU13" s="34"/>
    </row>
    <row r="14" ht="12.75" customHeight="1">
      <c r="A14" s="48" t="s">
        <v>93</v>
      </c>
      <c r="B14" s="36" t="s">
        <v>94</v>
      </c>
      <c r="C14" s="151">
        <v>4.08</v>
      </c>
      <c r="D14" s="161">
        <v>32575.0</v>
      </c>
      <c r="E14" s="152">
        <f>D14-31819</f>
        <v>756</v>
      </c>
      <c r="F14" s="15">
        <f t="shared" si="1"/>
        <v>3084.48</v>
      </c>
      <c r="G14" s="151">
        <v>2.06</v>
      </c>
      <c r="H14" s="161">
        <v>16187.0</v>
      </c>
      <c r="I14" s="152">
        <f>H14-15881</f>
        <v>306</v>
      </c>
      <c r="J14" s="15">
        <f t="shared" si="2"/>
        <v>630.36</v>
      </c>
      <c r="K14" s="153">
        <f t="shared" si="3"/>
        <v>3714.84</v>
      </c>
      <c r="L14" s="154">
        <v>3715.0</v>
      </c>
      <c r="M14" s="151">
        <v>4.08</v>
      </c>
      <c r="N14" s="161">
        <v>33033.0</v>
      </c>
      <c r="O14" s="155">
        <f t="shared" si="5"/>
        <v>458</v>
      </c>
      <c r="P14" s="15">
        <f t="shared" si="6"/>
        <v>1868.64</v>
      </c>
      <c r="Q14" s="151">
        <v>2.06</v>
      </c>
      <c r="R14" s="161">
        <v>16396.0</v>
      </c>
      <c r="S14" s="155">
        <f t="shared" si="8"/>
        <v>209</v>
      </c>
      <c r="T14" s="15">
        <f t="shared" si="9"/>
        <v>430.54</v>
      </c>
      <c r="U14" s="153">
        <f t="shared" si="10"/>
        <v>2299.18</v>
      </c>
      <c r="V14" s="154">
        <v>2299.0</v>
      </c>
      <c r="W14" s="151">
        <v>4.08</v>
      </c>
      <c r="X14" s="161">
        <v>33815.0</v>
      </c>
      <c r="Y14" s="152">
        <f t="shared" si="12"/>
        <v>782</v>
      </c>
      <c r="Z14" s="15">
        <f t="shared" si="13"/>
        <v>3190.56</v>
      </c>
      <c r="AA14" s="151">
        <v>2.06</v>
      </c>
      <c r="AB14" s="161">
        <v>16788.0</v>
      </c>
      <c r="AC14" s="152">
        <f t="shared" si="15"/>
        <v>392</v>
      </c>
      <c r="AD14" s="15">
        <f t="shared" si="16"/>
        <v>807.52</v>
      </c>
      <c r="AE14" s="153">
        <f t="shared" si="17"/>
        <v>3998.08</v>
      </c>
      <c r="AF14" s="154">
        <v>3998.0</v>
      </c>
      <c r="AG14" s="151">
        <v>4.08</v>
      </c>
      <c r="AH14" s="161">
        <v>34756.0</v>
      </c>
      <c r="AI14" s="155">
        <f t="shared" si="19"/>
        <v>941</v>
      </c>
      <c r="AJ14" s="15">
        <f t="shared" si="51"/>
        <v>3839.28</v>
      </c>
      <c r="AK14" s="151">
        <v>2.06</v>
      </c>
      <c r="AL14" s="161">
        <v>17116.0</v>
      </c>
      <c r="AM14" s="155">
        <f t="shared" si="21"/>
        <v>328</v>
      </c>
      <c r="AN14" s="15">
        <f t="shared" si="52"/>
        <v>675.68</v>
      </c>
      <c r="AO14" s="156">
        <f t="shared" si="22"/>
        <v>4514.96</v>
      </c>
      <c r="AP14" s="154">
        <v>4515.0</v>
      </c>
      <c r="AQ14" s="151">
        <v>4.08</v>
      </c>
      <c r="AR14" s="161">
        <v>35639.0</v>
      </c>
      <c r="AS14" s="152">
        <f t="shared" si="24"/>
        <v>883</v>
      </c>
      <c r="AT14" s="15">
        <f t="shared" si="25"/>
        <v>3602.64</v>
      </c>
      <c r="AU14" s="151">
        <v>2.06</v>
      </c>
      <c r="AV14" s="161">
        <v>17534.0</v>
      </c>
      <c r="AW14" s="152">
        <f t="shared" si="27"/>
        <v>418</v>
      </c>
      <c r="AX14" s="15">
        <f t="shared" si="28"/>
        <v>861.08</v>
      </c>
      <c r="AY14" s="156">
        <f t="shared" si="29"/>
        <v>4463.72</v>
      </c>
      <c r="AZ14" s="154">
        <v>4464.0</v>
      </c>
      <c r="BA14" s="151">
        <v>4.08</v>
      </c>
      <c r="BB14" s="161">
        <v>36021.0</v>
      </c>
      <c r="BC14" s="152">
        <f t="shared" si="31"/>
        <v>382</v>
      </c>
      <c r="BD14" s="15">
        <f t="shared" si="32"/>
        <v>1558.56</v>
      </c>
      <c r="BE14" s="151">
        <v>2.06</v>
      </c>
      <c r="BF14" s="161">
        <v>17698.0</v>
      </c>
      <c r="BG14" s="152">
        <f t="shared" si="34"/>
        <v>164</v>
      </c>
      <c r="BH14" s="15">
        <f t="shared" si="35"/>
        <v>337.84</v>
      </c>
      <c r="BI14" s="156">
        <f t="shared" si="36"/>
        <v>1896.4</v>
      </c>
      <c r="BJ14" s="154">
        <v>1896.0</v>
      </c>
      <c r="BK14" s="151">
        <v>4.28</v>
      </c>
      <c r="BL14" s="161">
        <v>36783.0</v>
      </c>
      <c r="BM14" s="152">
        <f t="shared" si="38"/>
        <v>762</v>
      </c>
      <c r="BN14" s="15">
        <f t="shared" si="39"/>
        <v>3261.36</v>
      </c>
      <c r="BO14" s="151">
        <v>2.23</v>
      </c>
      <c r="BP14" s="161">
        <v>18001.0</v>
      </c>
      <c r="BQ14" s="152">
        <f t="shared" si="41"/>
        <v>303</v>
      </c>
      <c r="BR14" s="15">
        <f t="shared" si="42"/>
        <v>675.69</v>
      </c>
      <c r="BS14" s="156">
        <f t="shared" si="43"/>
        <v>3937.05</v>
      </c>
      <c r="BT14" s="154">
        <v>3937.0</v>
      </c>
      <c r="BU14" s="151">
        <v>4.28</v>
      </c>
      <c r="BV14" s="161">
        <v>37392.0</v>
      </c>
      <c r="BW14" s="152">
        <f t="shared" si="45"/>
        <v>609</v>
      </c>
      <c r="BX14" s="15">
        <f t="shared" si="46"/>
        <v>2606.52</v>
      </c>
      <c r="BY14" s="151">
        <v>2.23</v>
      </c>
      <c r="BZ14" s="161">
        <v>18238.0</v>
      </c>
      <c r="CA14" s="152">
        <f t="shared" si="48"/>
        <v>237</v>
      </c>
      <c r="CB14" s="15">
        <f t="shared" si="49"/>
        <v>528.51</v>
      </c>
      <c r="CC14" s="156">
        <f t="shared" si="50"/>
        <v>3135.03</v>
      </c>
      <c r="CD14" s="154"/>
      <c r="CE14" s="151"/>
      <c r="CF14" s="161"/>
      <c r="CG14" s="155"/>
      <c r="CH14" s="15"/>
      <c r="CI14" s="151"/>
      <c r="CJ14" s="161"/>
      <c r="CK14" s="155"/>
      <c r="CL14" s="15"/>
      <c r="CM14" s="156"/>
      <c r="CN14" s="154"/>
      <c r="CO14" s="151"/>
      <c r="CP14" s="161"/>
      <c r="CQ14" s="152"/>
      <c r="CR14" s="15"/>
      <c r="CS14" s="151"/>
      <c r="CT14" s="161"/>
      <c r="CU14" s="152"/>
      <c r="CV14" s="15"/>
      <c r="CW14" s="156"/>
      <c r="CX14" s="154"/>
      <c r="CY14" s="151"/>
      <c r="CZ14" s="161"/>
      <c r="DA14" s="152"/>
      <c r="DB14" s="157"/>
      <c r="DC14" s="151"/>
      <c r="DD14" s="161"/>
      <c r="DE14" s="152"/>
      <c r="DF14" s="157"/>
      <c r="DG14" s="158"/>
      <c r="DH14" s="156"/>
      <c r="DI14" s="151"/>
      <c r="DJ14" s="152"/>
      <c r="DK14" s="152"/>
      <c r="DL14" s="157"/>
      <c r="DM14" s="151"/>
      <c r="DN14" s="152"/>
      <c r="DO14" s="152"/>
      <c r="DP14" s="157"/>
      <c r="DQ14" s="156"/>
      <c r="DR14" s="156"/>
      <c r="DS14" s="159"/>
      <c r="DT14" s="160"/>
      <c r="DU14" s="34"/>
    </row>
    <row r="15" ht="12.75" customHeight="1">
      <c r="A15" s="48" t="s">
        <v>95</v>
      </c>
      <c r="B15" s="36" t="s">
        <v>96</v>
      </c>
      <c r="C15" s="151">
        <v>4.08</v>
      </c>
      <c r="D15" s="161">
        <v>44215.0</v>
      </c>
      <c r="E15" s="152">
        <f>D15-41710</f>
        <v>2505</v>
      </c>
      <c r="F15" s="15">
        <f t="shared" si="1"/>
        <v>10220.4</v>
      </c>
      <c r="G15" s="151">
        <v>2.06</v>
      </c>
      <c r="H15" s="161">
        <v>21594.0</v>
      </c>
      <c r="I15" s="152">
        <f>H15-20469</f>
        <v>1125</v>
      </c>
      <c r="J15" s="15">
        <f t="shared" si="2"/>
        <v>2317.5</v>
      </c>
      <c r="K15" s="153">
        <f t="shared" si="3"/>
        <v>12537.9</v>
      </c>
      <c r="L15" s="154">
        <v>12538.0</v>
      </c>
      <c r="M15" s="151">
        <v>4.08</v>
      </c>
      <c r="N15" s="161">
        <v>46298.0</v>
      </c>
      <c r="O15" s="155">
        <f t="shared" si="5"/>
        <v>2083</v>
      </c>
      <c r="P15" s="15">
        <f t="shared" si="6"/>
        <v>8498.64</v>
      </c>
      <c r="Q15" s="151">
        <v>2.06</v>
      </c>
      <c r="R15" s="161">
        <v>22589.0</v>
      </c>
      <c r="S15" s="155">
        <f t="shared" si="8"/>
        <v>995</v>
      </c>
      <c r="T15" s="15">
        <f t="shared" si="9"/>
        <v>2049.7</v>
      </c>
      <c r="U15" s="153">
        <f t="shared" si="10"/>
        <v>10548.34</v>
      </c>
      <c r="V15" s="154">
        <v>10548.0</v>
      </c>
      <c r="W15" s="151">
        <v>4.08</v>
      </c>
      <c r="X15" s="161">
        <v>48774.0</v>
      </c>
      <c r="Y15" s="152">
        <f t="shared" si="12"/>
        <v>2476</v>
      </c>
      <c r="Z15" s="15">
        <f t="shared" si="13"/>
        <v>10102.08</v>
      </c>
      <c r="AA15" s="151">
        <v>2.06</v>
      </c>
      <c r="AB15" s="161">
        <v>23295.0</v>
      </c>
      <c r="AC15" s="152">
        <f t="shared" si="15"/>
        <v>706</v>
      </c>
      <c r="AD15" s="15">
        <f t="shared" si="16"/>
        <v>1454.36</v>
      </c>
      <c r="AE15" s="153">
        <f t="shared" si="17"/>
        <v>11556.44</v>
      </c>
      <c r="AF15" s="154">
        <v>11556.0</v>
      </c>
      <c r="AG15" s="151">
        <v>4.08</v>
      </c>
      <c r="AH15" s="161">
        <v>49184.0</v>
      </c>
      <c r="AI15" s="155">
        <f t="shared" si="19"/>
        <v>410</v>
      </c>
      <c r="AJ15" s="15">
        <f t="shared" si="51"/>
        <v>1672.8</v>
      </c>
      <c r="AK15" s="151">
        <v>2.06</v>
      </c>
      <c r="AL15" s="161">
        <v>23921.0</v>
      </c>
      <c r="AM15" s="155">
        <f t="shared" si="21"/>
        <v>626</v>
      </c>
      <c r="AN15" s="15">
        <f t="shared" si="52"/>
        <v>1289.56</v>
      </c>
      <c r="AO15" s="156">
        <f t="shared" si="22"/>
        <v>2962.36</v>
      </c>
      <c r="AP15" s="154">
        <v>2962.0</v>
      </c>
      <c r="AQ15" s="151">
        <v>4.08</v>
      </c>
      <c r="AR15" s="161">
        <v>50595.0</v>
      </c>
      <c r="AS15" s="152">
        <f t="shared" si="24"/>
        <v>1411</v>
      </c>
      <c r="AT15" s="15">
        <f t="shared" si="25"/>
        <v>5756.88</v>
      </c>
      <c r="AU15" s="151">
        <v>2.06</v>
      </c>
      <c r="AV15" s="161">
        <v>24642.0</v>
      </c>
      <c r="AW15" s="152">
        <f t="shared" si="27"/>
        <v>721</v>
      </c>
      <c r="AX15" s="15">
        <f t="shared" si="28"/>
        <v>1485.26</v>
      </c>
      <c r="AY15" s="156">
        <f t="shared" si="29"/>
        <v>7242.14</v>
      </c>
      <c r="AZ15" s="154">
        <v>7242.0</v>
      </c>
      <c r="BA15" s="151">
        <v>4.08</v>
      </c>
      <c r="BB15" s="161">
        <v>51539.0</v>
      </c>
      <c r="BC15" s="152">
        <f t="shared" si="31"/>
        <v>944</v>
      </c>
      <c r="BD15" s="15">
        <f t="shared" si="32"/>
        <v>3851.52</v>
      </c>
      <c r="BE15" s="151">
        <v>2.06</v>
      </c>
      <c r="BF15" s="161">
        <v>25074.0</v>
      </c>
      <c r="BG15" s="152">
        <f t="shared" si="34"/>
        <v>432</v>
      </c>
      <c r="BH15" s="15">
        <f t="shared" si="35"/>
        <v>889.92</v>
      </c>
      <c r="BI15" s="156">
        <f t="shared" si="36"/>
        <v>4741.44</v>
      </c>
      <c r="BJ15" s="154">
        <v>4741.0</v>
      </c>
      <c r="BK15" s="151">
        <v>4.28</v>
      </c>
      <c r="BL15" s="161">
        <v>52254.0</v>
      </c>
      <c r="BM15" s="152">
        <f t="shared" si="38"/>
        <v>715</v>
      </c>
      <c r="BN15" s="15">
        <f t="shared" si="39"/>
        <v>3060.2</v>
      </c>
      <c r="BO15" s="151">
        <v>2.23</v>
      </c>
      <c r="BP15" s="161">
        <v>25424.0</v>
      </c>
      <c r="BQ15" s="152">
        <f t="shared" si="41"/>
        <v>350</v>
      </c>
      <c r="BR15" s="15">
        <f t="shared" si="42"/>
        <v>780.5</v>
      </c>
      <c r="BS15" s="156">
        <f t="shared" si="43"/>
        <v>3840.7</v>
      </c>
      <c r="BT15" s="154">
        <v>3841.0</v>
      </c>
      <c r="BU15" s="151">
        <v>4.28</v>
      </c>
      <c r="BV15" s="161">
        <v>52803.0</v>
      </c>
      <c r="BW15" s="152">
        <f t="shared" si="45"/>
        <v>549</v>
      </c>
      <c r="BX15" s="15">
        <f t="shared" si="46"/>
        <v>2349.72</v>
      </c>
      <c r="BY15" s="151">
        <v>2.23</v>
      </c>
      <c r="BZ15" s="161">
        <v>25686.0</v>
      </c>
      <c r="CA15" s="152">
        <f t="shared" si="48"/>
        <v>262</v>
      </c>
      <c r="CB15" s="15">
        <f t="shared" si="49"/>
        <v>584.26</v>
      </c>
      <c r="CC15" s="156">
        <f t="shared" si="50"/>
        <v>2933.98</v>
      </c>
      <c r="CD15" s="154"/>
      <c r="CE15" s="151"/>
      <c r="CF15" s="161"/>
      <c r="CG15" s="155"/>
      <c r="CH15" s="15"/>
      <c r="CI15" s="151"/>
      <c r="CJ15" s="161"/>
      <c r="CK15" s="155"/>
      <c r="CL15" s="15"/>
      <c r="CM15" s="156"/>
      <c r="CN15" s="154"/>
      <c r="CO15" s="151"/>
      <c r="CP15" s="161"/>
      <c r="CQ15" s="152"/>
      <c r="CR15" s="15"/>
      <c r="CS15" s="151"/>
      <c r="CT15" s="161"/>
      <c r="CU15" s="152"/>
      <c r="CV15" s="15"/>
      <c r="CW15" s="156"/>
      <c r="CX15" s="154"/>
      <c r="CY15" s="151"/>
      <c r="CZ15" s="161"/>
      <c r="DA15" s="152"/>
      <c r="DB15" s="157"/>
      <c r="DC15" s="151"/>
      <c r="DD15" s="161"/>
      <c r="DE15" s="152"/>
      <c r="DF15" s="157"/>
      <c r="DG15" s="158"/>
      <c r="DH15" s="154"/>
      <c r="DI15" s="151"/>
      <c r="DJ15" s="152"/>
      <c r="DK15" s="152"/>
      <c r="DL15" s="157"/>
      <c r="DM15" s="151"/>
      <c r="DN15" s="152"/>
      <c r="DO15" s="152"/>
      <c r="DP15" s="157"/>
      <c r="DQ15" s="156"/>
      <c r="DR15" s="154"/>
      <c r="DS15" s="159"/>
      <c r="DT15" s="160"/>
      <c r="DU15" s="34"/>
    </row>
    <row r="16" ht="12.75" customHeight="1">
      <c r="A16" s="48" t="s">
        <v>98</v>
      </c>
      <c r="B16" s="36" t="s">
        <v>100</v>
      </c>
      <c r="C16" s="151">
        <v>4.08</v>
      </c>
      <c r="D16" s="161">
        <v>39516.0</v>
      </c>
      <c r="E16" s="152">
        <f>D16-38578</f>
        <v>938</v>
      </c>
      <c r="F16" s="15">
        <f t="shared" si="1"/>
        <v>3827.04</v>
      </c>
      <c r="G16" s="151">
        <v>2.06</v>
      </c>
      <c r="H16" s="161">
        <v>17358.0</v>
      </c>
      <c r="I16" s="152">
        <f>H16-16931</f>
        <v>427</v>
      </c>
      <c r="J16" s="15">
        <f t="shared" si="2"/>
        <v>879.62</v>
      </c>
      <c r="K16" s="153">
        <f t="shared" si="3"/>
        <v>4706.66</v>
      </c>
      <c r="L16" s="154">
        <v>4707.0</v>
      </c>
      <c r="M16" s="151">
        <v>4.08</v>
      </c>
      <c r="N16" s="161">
        <v>40670.0</v>
      </c>
      <c r="O16" s="155">
        <f t="shared" si="5"/>
        <v>1154</v>
      </c>
      <c r="P16" s="15">
        <f t="shared" si="6"/>
        <v>4708.32</v>
      </c>
      <c r="Q16" s="151">
        <v>2.06</v>
      </c>
      <c r="R16" s="161">
        <v>17852.0</v>
      </c>
      <c r="S16" s="155">
        <f t="shared" si="8"/>
        <v>494</v>
      </c>
      <c r="T16" s="15">
        <f t="shared" si="9"/>
        <v>1017.64</v>
      </c>
      <c r="U16" s="153">
        <f t="shared" si="10"/>
        <v>5725.96</v>
      </c>
      <c r="V16" s="156"/>
      <c r="W16" s="151">
        <v>4.08</v>
      </c>
      <c r="X16" s="161">
        <v>42479.0</v>
      </c>
      <c r="Y16" s="152">
        <f t="shared" si="12"/>
        <v>1809</v>
      </c>
      <c r="Z16" s="15">
        <f t="shared" si="13"/>
        <v>7380.72</v>
      </c>
      <c r="AA16" s="151">
        <v>2.06</v>
      </c>
      <c r="AB16" s="161">
        <v>18697.0</v>
      </c>
      <c r="AC16" s="152">
        <f t="shared" si="15"/>
        <v>845</v>
      </c>
      <c r="AD16" s="15">
        <f t="shared" si="16"/>
        <v>1740.7</v>
      </c>
      <c r="AE16" s="153">
        <f t="shared" si="17"/>
        <v>9121.42</v>
      </c>
      <c r="AF16" s="156"/>
      <c r="AG16" s="151">
        <v>4.08</v>
      </c>
      <c r="AH16" s="161">
        <v>43052.0</v>
      </c>
      <c r="AI16" s="155">
        <f t="shared" si="19"/>
        <v>573</v>
      </c>
      <c r="AJ16" s="15">
        <f t="shared" si="51"/>
        <v>2337.84</v>
      </c>
      <c r="AK16" s="151">
        <v>2.06</v>
      </c>
      <c r="AL16" s="161">
        <v>19005.0</v>
      </c>
      <c r="AM16" s="155">
        <f t="shared" si="21"/>
        <v>308</v>
      </c>
      <c r="AN16" s="15">
        <f t="shared" si="52"/>
        <v>634.48</v>
      </c>
      <c r="AO16" s="156">
        <f t="shared" si="22"/>
        <v>2972.32</v>
      </c>
      <c r="AP16" s="156"/>
      <c r="AQ16" s="151">
        <v>4.08</v>
      </c>
      <c r="AR16" s="161">
        <v>43387.0</v>
      </c>
      <c r="AS16" s="152">
        <f t="shared" si="24"/>
        <v>335</v>
      </c>
      <c r="AT16" s="15">
        <f t="shared" si="25"/>
        <v>1366.8</v>
      </c>
      <c r="AU16" s="151">
        <v>2.06</v>
      </c>
      <c r="AV16" s="161">
        <v>19165.0</v>
      </c>
      <c r="AW16" s="152">
        <f t="shared" si="27"/>
        <v>160</v>
      </c>
      <c r="AX16" s="15">
        <f t="shared" si="28"/>
        <v>329.6</v>
      </c>
      <c r="AY16" s="156">
        <f t="shared" si="29"/>
        <v>1696.4</v>
      </c>
      <c r="AZ16" s="156"/>
      <c r="BA16" s="151">
        <v>4.08</v>
      </c>
      <c r="BB16" s="161">
        <v>43608.0</v>
      </c>
      <c r="BC16" s="152">
        <f t="shared" si="31"/>
        <v>221</v>
      </c>
      <c r="BD16" s="15">
        <f t="shared" si="32"/>
        <v>901.68</v>
      </c>
      <c r="BE16" s="151">
        <v>2.06</v>
      </c>
      <c r="BF16" s="161">
        <v>19265.0</v>
      </c>
      <c r="BG16" s="152">
        <f t="shared" si="34"/>
        <v>100</v>
      </c>
      <c r="BH16" s="15">
        <f t="shared" si="35"/>
        <v>206</v>
      </c>
      <c r="BI16" s="156">
        <f t="shared" si="36"/>
        <v>1107.68</v>
      </c>
      <c r="BJ16" s="156"/>
      <c r="BK16" s="151">
        <v>4.28</v>
      </c>
      <c r="BL16" s="161">
        <v>44049.0</v>
      </c>
      <c r="BM16" s="152">
        <f t="shared" si="38"/>
        <v>441</v>
      </c>
      <c r="BN16" s="15">
        <f t="shared" si="39"/>
        <v>1887.48</v>
      </c>
      <c r="BO16" s="151">
        <v>2.23</v>
      </c>
      <c r="BP16" s="161">
        <v>19378.0</v>
      </c>
      <c r="BQ16" s="152">
        <f t="shared" si="41"/>
        <v>113</v>
      </c>
      <c r="BR16" s="15">
        <f t="shared" si="42"/>
        <v>251.99</v>
      </c>
      <c r="BS16" s="156">
        <f t="shared" si="43"/>
        <v>2139.47</v>
      </c>
      <c r="BT16" s="156"/>
      <c r="BU16" s="151">
        <v>4.28</v>
      </c>
      <c r="BV16" s="161">
        <v>44329.0</v>
      </c>
      <c r="BW16" s="152">
        <f t="shared" si="45"/>
        <v>280</v>
      </c>
      <c r="BX16" s="15">
        <f t="shared" si="46"/>
        <v>1198.4</v>
      </c>
      <c r="BY16" s="151">
        <v>2.23</v>
      </c>
      <c r="BZ16" s="161">
        <v>19473.0</v>
      </c>
      <c r="CA16" s="152">
        <f t="shared" si="48"/>
        <v>95</v>
      </c>
      <c r="CB16" s="15">
        <f t="shared" si="49"/>
        <v>211.85</v>
      </c>
      <c r="CC16" s="156">
        <f t="shared" si="50"/>
        <v>1410.25</v>
      </c>
      <c r="CD16" s="156"/>
      <c r="CE16" s="151"/>
      <c r="CF16" s="161"/>
      <c r="CG16" s="155"/>
      <c r="CH16" s="15"/>
      <c r="CI16" s="151"/>
      <c r="CJ16" s="161"/>
      <c r="CK16" s="155"/>
      <c r="CL16" s="15"/>
      <c r="CM16" s="156"/>
      <c r="CN16" s="156"/>
      <c r="CO16" s="151"/>
      <c r="CP16" s="161"/>
      <c r="CQ16" s="152"/>
      <c r="CR16" s="15"/>
      <c r="CS16" s="151"/>
      <c r="CT16" s="161"/>
      <c r="CU16" s="152"/>
      <c r="CV16" s="15"/>
      <c r="CW16" s="156"/>
      <c r="CX16" s="156"/>
      <c r="CY16" s="151"/>
      <c r="CZ16" s="161"/>
      <c r="DA16" s="152"/>
      <c r="DB16" s="157"/>
      <c r="DC16" s="151"/>
      <c r="DD16" s="161"/>
      <c r="DE16" s="152"/>
      <c r="DF16" s="157"/>
      <c r="DG16" s="158"/>
      <c r="DH16" s="156"/>
      <c r="DI16" s="151"/>
      <c r="DJ16" s="152"/>
      <c r="DK16" s="152"/>
      <c r="DL16" s="157"/>
      <c r="DM16" s="151"/>
      <c r="DN16" s="152"/>
      <c r="DO16" s="152"/>
      <c r="DP16" s="157"/>
      <c r="DQ16" s="156"/>
      <c r="DR16" s="156"/>
      <c r="DS16" s="159"/>
      <c r="DT16" s="160"/>
      <c r="DU16" s="34"/>
    </row>
    <row r="17" ht="12.75" customHeight="1">
      <c r="A17" s="48" t="s">
        <v>102</v>
      </c>
      <c r="B17" s="36" t="s">
        <v>103</v>
      </c>
      <c r="C17" s="151">
        <v>4.08</v>
      </c>
      <c r="D17" s="161">
        <v>48621.0</v>
      </c>
      <c r="E17" s="152">
        <f>D17-47220</f>
        <v>1401</v>
      </c>
      <c r="F17" s="15">
        <f t="shared" si="1"/>
        <v>5716.08</v>
      </c>
      <c r="G17" s="151">
        <v>2.06</v>
      </c>
      <c r="H17" s="161">
        <v>21078.0</v>
      </c>
      <c r="I17" s="152">
        <f>H17-20554</f>
        <v>524</v>
      </c>
      <c r="J17" s="15">
        <f t="shared" si="2"/>
        <v>1079.44</v>
      </c>
      <c r="K17" s="153">
        <f t="shared" si="3"/>
        <v>6795.52</v>
      </c>
      <c r="L17" s="154">
        <v>6796.0</v>
      </c>
      <c r="M17" s="151">
        <v>4.08</v>
      </c>
      <c r="N17" s="161">
        <v>49225.0</v>
      </c>
      <c r="O17" s="155">
        <f t="shared" si="5"/>
        <v>604</v>
      </c>
      <c r="P17" s="15">
        <f t="shared" si="6"/>
        <v>2464.32</v>
      </c>
      <c r="Q17" s="151">
        <v>2.06</v>
      </c>
      <c r="R17" s="161">
        <v>21288.0</v>
      </c>
      <c r="S17" s="155">
        <f t="shared" si="8"/>
        <v>210</v>
      </c>
      <c r="T17" s="15">
        <f t="shared" si="9"/>
        <v>432.6</v>
      </c>
      <c r="U17" s="153">
        <f t="shared" si="10"/>
        <v>2896.92</v>
      </c>
      <c r="V17" s="154">
        <v>2897.0</v>
      </c>
      <c r="W17" s="151">
        <v>4.08</v>
      </c>
      <c r="X17" s="161">
        <v>50025.0</v>
      </c>
      <c r="Y17" s="152">
        <f t="shared" si="12"/>
        <v>800</v>
      </c>
      <c r="Z17" s="15">
        <f t="shared" si="13"/>
        <v>3264</v>
      </c>
      <c r="AA17" s="151">
        <v>2.06</v>
      </c>
      <c r="AB17" s="161">
        <v>21601.0</v>
      </c>
      <c r="AC17" s="152">
        <f t="shared" si="15"/>
        <v>313</v>
      </c>
      <c r="AD17" s="15">
        <f t="shared" si="16"/>
        <v>644.78</v>
      </c>
      <c r="AE17" s="153">
        <f t="shared" si="17"/>
        <v>3908.78</v>
      </c>
      <c r="AF17" s="44">
        <v>3909.0</v>
      </c>
      <c r="AG17" s="151">
        <v>4.08</v>
      </c>
      <c r="AH17" s="161">
        <v>50474.0</v>
      </c>
      <c r="AI17" s="155">
        <f t="shared" si="19"/>
        <v>449</v>
      </c>
      <c r="AJ17" s="15">
        <f t="shared" si="51"/>
        <v>1831.92</v>
      </c>
      <c r="AK17" s="151">
        <v>2.06</v>
      </c>
      <c r="AL17" s="161">
        <v>21747.0</v>
      </c>
      <c r="AM17" s="155">
        <f t="shared" si="21"/>
        <v>146</v>
      </c>
      <c r="AN17" s="15">
        <f t="shared" si="52"/>
        <v>300.76</v>
      </c>
      <c r="AO17" s="156">
        <f t="shared" si="22"/>
        <v>2132.68</v>
      </c>
      <c r="AP17" s="154">
        <v>2133.0</v>
      </c>
      <c r="AQ17" s="151">
        <v>4.08</v>
      </c>
      <c r="AR17" s="161">
        <v>51157.0</v>
      </c>
      <c r="AS17" s="152">
        <f t="shared" si="24"/>
        <v>683</v>
      </c>
      <c r="AT17" s="15">
        <f t="shared" si="25"/>
        <v>2786.64</v>
      </c>
      <c r="AU17" s="151">
        <v>2.06</v>
      </c>
      <c r="AV17" s="161">
        <v>22034.0</v>
      </c>
      <c r="AW17" s="152">
        <f t="shared" si="27"/>
        <v>287</v>
      </c>
      <c r="AX17" s="15">
        <f t="shared" si="28"/>
        <v>591.22</v>
      </c>
      <c r="AY17" s="156">
        <f t="shared" si="29"/>
        <v>3377.86</v>
      </c>
      <c r="AZ17" s="44">
        <v>3378.0</v>
      </c>
      <c r="BA17" s="151">
        <v>4.08</v>
      </c>
      <c r="BB17" s="161">
        <v>51664.0</v>
      </c>
      <c r="BC17" s="152">
        <f t="shared" si="31"/>
        <v>507</v>
      </c>
      <c r="BD17" s="15">
        <f t="shared" si="32"/>
        <v>2068.56</v>
      </c>
      <c r="BE17" s="151">
        <v>2.06</v>
      </c>
      <c r="BF17" s="161">
        <v>22202.0</v>
      </c>
      <c r="BG17" s="152">
        <f t="shared" si="34"/>
        <v>168</v>
      </c>
      <c r="BH17" s="15">
        <f t="shared" si="35"/>
        <v>346.08</v>
      </c>
      <c r="BI17" s="156">
        <f t="shared" si="36"/>
        <v>2414.64</v>
      </c>
      <c r="BJ17" s="44">
        <v>2415.0</v>
      </c>
      <c r="BK17" s="151">
        <v>4.28</v>
      </c>
      <c r="BL17" s="161">
        <v>52259.0</v>
      </c>
      <c r="BM17" s="152">
        <f t="shared" si="38"/>
        <v>595</v>
      </c>
      <c r="BN17" s="15">
        <f t="shared" si="39"/>
        <v>2546.6</v>
      </c>
      <c r="BO17" s="151">
        <v>2.23</v>
      </c>
      <c r="BP17" s="161">
        <v>22358.0</v>
      </c>
      <c r="BQ17" s="152">
        <f t="shared" si="41"/>
        <v>156</v>
      </c>
      <c r="BR17" s="15">
        <f t="shared" si="42"/>
        <v>347.88</v>
      </c>
      <c r="BS17" s="156">
        <f t="shared" si="43"/>
        <v>2894.48</v>
      </c>
      <c r="BT17" s="44">
        <v>2894.0</v>
      </c>
      <c r="BU17" s="151">
        <v>4.28</v>
      </c>
      <c r="BV17" s="161">
        <v>52875.0</v>
      </c>
      <c r="BW17" s="152">
        <f t="shared" si="45"/>
        <v>616</v>
      </c>
      <c r="BX17" s="15">
        <f t="shared" si="46"/>
        <v>2636.48</v>
      </c>
      <c r="BY17" s="151">
        <v>2.23</v>
      </c>
      <c r="BZ17" s="161">
        <v>22518.0</v>
      </c>
      <c r="CA17" s="152">
        <f t="shared" si="48"/>
        <v>160</v>
      </c>
      <c r="CB17" s="15">
        <f t="shared" si="49"/>
        <v>356.8</v>
      </c>
      <c r="CC17" s="156">
        <f t="shared" si="50"/>
        <v>2993.28</v>
      </c>
      <c r="CD17" s="154">
        <v>1505.0</v>
      </c>
      <c r="CE17" s="151"/>
      <c r="CF17" s="161"/>
      <c r="CG17" s="155"/>
      <c r="CH17" s="15"/>
      <c r="CI17" s="151"/>
      <c r="CJ17" s="161"/>
      <c r="CK17" s="155"/>
      <c r="CL17" s="15"/>
      <c r="CM17" s="156"/>
      <c r="CN17" s="154"/>
      <c r="CO17" s="151"/>
      <c r="CP17" s="161"/>
      <c r="CQ17" s="152"/>
      <c r="CR17" s="15"/>
      <c r="CS17" s="151"/>
      <c r="CT17" s="161"/>
      <c r="CU17" s="152"/>
      <c r="CV17" s="15"/>
      <c r="CW17" s="156"/>
      <c r="CX17" s="154"/>
      <c r="CY17" s="151"/>
      <c r="CZ17" s="161"/>
      <c r="DA17" s="152"/>
      <c r="DB17" s="157"/>
      <c r="DC17" s="151"/>
      <c r="DD17" s="161"/>
      <c r="DE17" s="152"/>
      <c r="DF17" s="157"/>
      <c r="DG17" s="158"/>
      <c r="DH17" s="154"/>
      <c r="DI17" s="151"/>
      <c r="DJ17" s="152"/>
      <c r="DK17" s="152"/>
      <c r="DL17" s="157"/>
      <c r="DM17" s="151"/>
      <c r="DN17" s="152"/>
      <c r="DO17" s="152"/>
      <c r="DP17" s="157"/>
      <c r="DQ17" s="156"/>
      <c r="DR17" s="156"/>
      <c r="DS17" s="159"/>
      <c r="DT17" s="160"/>
      <c r="DU17" s="34"/>
    </row>
    <row r="18" ht="12.75" customHeight="1">
      <c r="A18" s="48" t="s">
        <v>104</v>
      </c>
      <c r="B18" s="36" t="s">
        <v>106</v>
      </c>
      <c r="C18" s="151">
        <v>4.08</v>
      </c>
      <c r="D18" s="161">
        <v>23378.0</v>
      </c>
      <c r="E18" s="152">
        <f>D18-22303</f>
        <v>1075</v>
      </c>
      <c r="F18" s="15">
        <f t="shared" si="1"/>
        <v>4386</v>
      </c>
      <c r="G18" s="151">
        <v>2.06</v>
      </c>
      <c r="H18" s="152">
        <v>0.0</v>
      </c>
      <c r="I18" s="152">
        <f>H18-0</f>
        <v>0</v>
      </c>
      <c r="J18" s="15">
        <f t="shared" si="2"/>
        <v>0</v>
      </c>
      <c r="K18" s="153">
        <f t="shared" si="3"/>
        <v>4386</v>
      </c>
      <c r="L18" s="154">
        <v>4386.0</v>
      </c>
      <c r="M18" s="151">
        <v>4.08</v>
      </c>
      <c r="N18" s="161">
        <v>24149.0</v>
      </c>
      <c r="O18" s="155">
        <f t="shared" si="5"/>
        <v>771</v>
      </c>
      <c r="P18" s="15">
        <f t="shared" si="6"/>
        <v>3145.68</v>
      </c>
      <c r="Q18" s="151">
        <v>2.06</v>
      </c>
      <c r="R18" s="152">
        <f>H18</f>
        <v>0</v>
      </c>
      <c r="S18" s="155">
        <f t="shared" si="8"/>
        <v>0</v>
      </c>
      <c r="T18" s="15">
        <f t="shared" si="9"/>
        <v>0</v>
      </c>
      <c r="U18" s="153">
        <f t="shared" si="10"/>
        <v>3145.68</v>
      </c>
      <c r="V18" s="154">
        <v>3146.0</v>
      </c>
      <c r="W18" s="151">
        <v>4.08</v>
      </c>
      <c r="X18" s="161">
        <v>25336.0</v>
      </c>
      <c r="Y18" s="152">
        <f t="shared" si="12"/>
        <v>1187</v>
      </c>
      <c r="Z18" s="15">
        <f t="shared" si="13"/>
        <v>4842.96</v>
      </c>
      <c r="AA18" s="151">
        <v>2.06</v>
      </c>
      <c r="AB18" s="152">
        <f>R18</f>
        <v>0</v>
      </c>
      <c r="AC18" s="152">
        <f t="shared" si="15"/>
        <v>0</v>
      </c>
      <c r="AD18" s="15">
        <f t="shared" si="16"/>
        <v>0</v>
      </c>
      <c r="AE18" s="153">
        <f t="shared" si="17"/>
        <v>4842.96</v>
      </c>
      <c r="AF18" s="154">
        <v>4843.0</v>
      </c>
      <c r="AG18" s="151">
        <v>4.08</v>
      </c>
      <c r="AH18" s="161">
        <v>25788.0</v>
      </c>
      <c r="AI18" s="155">
        <f t="shared" si="19"/>
        <v>452</v>
      </c>
      <c r="AJ18" s="15">
        <f t="shared" si="51"/>
        <v>1844.16</v>
      </c>
      <c r="AK18" s="151">
        <v>2.06</v>
      </c>
      <c r="AL18" s="152">
        <f>AB18</f>
        <v>0</v>
      </c>
      <c r="AM18" s="155">
        <f t="shared" si="21"/>
        <v>0</v>
      </c>
      <c r="AN18" s="15">
        <f t="shared" si="52"/>
        <v>0</v>
      </c>
      <c r="AO18" s="156">
        <f t="shared" si="22"/>
        <v>1844.16</v>
      </c>
      <c r="AP18" s="154">
        <v>1844.0</v>
      </c>
      <c r="AQ18" s="151">
        <v>4.08</v>
      </c>
      <c r="AR18" s="161">
        <v>25935.0</v>
      </c>
      <c r="AS18" s="152">
        <f t="shared" si="24"/>
        <v>147</v>
      </c>
      <c r="AT18" s="15">
        <f t="shared" si="25"/>
        <v>599.76</v>
      </c>
      <c r="AU18" s="151">
        <v>2.06</v>
      </c>
      <c r="AV18" s="152">
        <f>AL18</f>
        <v>0</v>
      </c>
      <c r="AW18" s="152">
        <f t="shared" si="27"/>
        <v>0</v>
      </c>
      <c r="AX18" s="15">
        <f t="shared" si="28"/>
        <v>0</v>
      </c>
      <c r="AY18" s="156">
        <f t="shared" si="29"/>
        <v>599.76</v>
      </c>
      <c r="AZ18" s="154"/>
      <c r="BA18" s="151">
        <v>4.08</v>
      </c>
      <c r="BB18" s="161">
        <v>25980.0</v>
      </c>
      <c r="BC18" s="152">
        <f t="shared" si="31"/>
        <v>45</v>
      </c>
      <c r="BD18" s="15">
        <f t="shared" si="32"/>
        <v>183.6</v>
      </c>
      <c r="BE18" s="151">
        <v>2.06</v>
      </c>
      <c r="BF18" s="152">
        <f>AV18</f>
        <v>0</v>
      </c>
      <c r="BG18" s="152">
        <f t="shared" si="34"/>
        <v>0</v>
      </c>
      <c r="BH18" s="15">
        <f t="shared" si="35"/>
        <v>0</v>
      </c>
      <c r="BI18" s="156">
        <f t="shared" si="36"/>
        <v>183.6</v>
      </c>
      <c r="BJ18" s="154"/>
      <c r="BK18" s="151">
        <v>4.28</v>
      </c>
      <c r="BL18" s="161">
        <v>26011.0</v>
      </c>
      <c r="BM18" s="152">
        <f t="shared" si="38"/>
        <v>31</v>
      </c>
      <c r="BN18" s="15">
        <f t="shared" si="39"/>
        <v>132.68</v>
      </c>
      <c r="BO18" s="151">
        <v>2.23</v>
      </c>
      <c r="BP18" s="152">
        <f>BF18</f>
        <v>0</v>
      </c>
      <c r="BQ18" s="152">
        <f t="shared" si="41"/>
        <v>0</v>
      </c>
      <c r="BR18" s="15">
        <f t="shared" si="42"/>
        <v>0</v>
      </c>
      <c r="BS18" s="156">
        <f t="shared" si="43"/>
        <v>132.68</v>
      </c>
      <c r="BT18" s="154"/>
      <c r="BU18" s="151">
        <v>4.28</v>
      </c>
      <c r="BV18" s="161">
        <v>26037.0</v>
      </c>
      <c r="BW18" s="152">
        <f t="shared" si="45"/>
        <v>26</v>
      </c>
      <c r="BX18" s="15">
        <f t="shared" si="46"/>
        <v>111.28</v>
      </c>
      <c r="BY18" s="151">
        <v>2.23</v>
      </c>
      <c r="BZ18" s="152">
        <f>BP18</f>
        <v>0</v>
      </c>
      <c r="CA18" s="152">
        <f t="shared" si="48"/>
        <v>0</v>
      </c>
      <c r="CB18" s="15">
        <f t="shared" si="49"/>
        <v>0</v>
      </c>
      <c r="CC18" s="156">
        <f t="shared" si="50"/>
        <v>111.28</v>
      </c>
      <c r="CD18" s="154"/>
      <c r="CE18" s="151"/>
      <c r="CF18" s="161"/>
      <c r="CG18" s="155"/>
      <c r="CH18" s="15"/>
      <c r="CI18" s="151"/>
      <c r="CJ18" s="152"/>
      <c r="CK18" s="155"/>
      <c r="CL18" s="15"/>
      <c r="CM18" s="156"/>
      <c r="CN18" s="154"/>
      <c r="CO18" s="151"/>
      <c r="CP18" s="161"/>
      <c r="CQ18" s="152"/>
      <c r="CR18" s="15"/>
      <c r="CS18" s="151"/>
      <c r="CT18" s="152"/>
      <c r="CU18" s="152"/>
      <c r="CV18" s="15"/>
      <c r="CW18" s="156"/>
      <c r="CX18" s="154"/>
      <c r="CY18" s="151"/>
      <c r="CZ18" s="161"/>
      <c r="DA18" s="152"/>
      <c r="DB18" s="157"/>
      <c r="DC18" s="151"/>
      <c r="DD18" s="152"/>
      <c r="DE18" s="152"/>
      <c r="DF18" s="157"/>
      <c r="DG18" s="158"/>
      <c r="DH18" s="156"/>
      <c r="DI18" s="151"/>
      <c r="DJ18" s="152"/>
      <c r="DK18" s="152"/>
      <c r="DL18" s="157"/>
      <c r="DM18" s="151"/>
      <c r="DN18" s="152"/>
      <c r="DO18" s="152"/>
      <c r="DP18" s="157"/>
      <c r="DQ18" s="156"/>
      <c r="DR18" s="156"/>
      <c r="DS18" s="159"/>
      <c r="DT18" s="160"/>
      <c r="DU18" s="34"/>
    </row>
    <row r="19" ht="12.75" customHeight="1">
      <c r="A19" s="48" t="s">
        <v>108</v>
      </c>
      <c r="B19" s="36" t="s">
        <v>109</v>
      </c>
      <c r="C19" s="151">
        <v>4.08</v>
      </c>
      <c r="D19" s="161">
        <v>54720.0</v>
      </c>
      <c r="E19" s="152">
        <f>D19-53636</f>
        <v>1084</v>
      </c>
      <c r="F19" s="15">
        <f t="shared" si="1"/>
        <v>4422.72</v>
      </c>
      <c r="G19" s="151">
        <v>2.06</v>
      </c>
      <c r="H19" s="161">
        <v>25809.0</v>
      </c>
      <c r="I19" s="152">
        <f>H19-25370</f>
        <v>439</v>
      </c>
      <c r="J19" s="15">
        <f t="shared" si="2"/>
        <v>904.34</v>
      </c>
      <c r="K19" s="153">
        <f t="shared" si="3"/>
        <v>5327.06</v>
      </c>
      <c r="L19" s="154">
        <v>5327.0</v>
      </c>
      <c r="M19" s="151">
        <v>4.08</v>
      </c>
      <c r="N19" s="161">
        <v>55506.0</v>
      </c>
      <c r="O19" s="155">
        <f t="shared" si="5"/>
        <v>786</v>
      </c>
      <c r="P19" s="15">
        <f t="shared" si="6"/>
        <v>3206.88</v>
      </c>
      <c r="Q19" s="151">
        <v>2.06</v>
      </c>
      <c r="R19" s="161">
        <v>26189.0</v>
      </c>
      <c r="S19" s="155">
        <f t="shared" si="8"/>
        <v>380</v>
      </c>
      <c r="T19" s="15">
        <f t="shared" si="9"/>
        <v>782.8</v>
      </c>
      <c r="U19" s="153">
        <f t="shared" si="10"/>
        <v>3989.68</v>
      </c>
      <c r="V19" s="154">
        <v>3990.0</v>
      </c>
      <c r="W19" s="151">
        <v>4.08</v>
      </c>
      <c r="X19" s="161">
        <v>56365.0</v>
      </c>
      <c r="Y19" s="152">
        <f t="shared" si="12"/>
        <v>859</v>
      </c>
      <c r="Z19" s="15">
        <f t="shared" si="13"/>
        <v>3504.72</v>
      </c>
      <c r="AA19" s="151">
        <v>2.06</v>
      </c>
      <c r="AB19" s="161">
        <v>26613.0</v>
      </c>
      <c r="AC19" s="152">
        <f t="shared" si="15"/>
        <v>424</v>
      </c>
      <c r="AD19" s="15">
        <f t="shared" si="16"/>
        <v>873.44</v>
      </c>
      <c r="AE19" s="153">
        <f t="shared" si="17"/>
        <v>4378.16</v>
      </c>
      <c r="AF19" s="154">
        <v>4378.0</v>
      </c>
      <c r="AG19" s="151">
        <v>4.08</v>
      </c>
      <c r="AH19" s="161">
        <v>57357.0</v>
      </c>
      <c r="AI19" s="155">
        <f t="shared" si="19"/>
        <v>992</v>
      </c>
      <c r="AJ19" s="15">
        <f t="shared" si="51"/>
        <v>4047.36</v>
      </c>
      <c r="AK19" s="151">
        <v>2.06</v>
      </c>
      <c r="AL19" s="161">
        <v>27131.0</v>
      </c>
      <c r="AM19" s="155">
        <f t="shared" si="21"/>
        <v>518</v>
      </c>
      <c r="AN19" s="15">
        <f t="shared" si="52"/>
        <v>1067.08</v>
      </c>
      <c r="AO19" s="156">
        <f t="shared" si="22"/>
        <v>5114.44</v>
      </c>
      <c r="AP19" s="154">
        <v>5114.0</v>
      </c>
      <c r="AQ19" s="151">
        <v>4.08</v>
      </c>
      <c r="AR19" s="161">
        <v>58092.0</v>
      </c>
      <c r="AS19" s="152">
        <f t="shared" si="24"/>
        <v>735</v>
      </c>
      <c r="AT19" s="15">
        <f t="shared" si="25"/>
        <v>2998.8</v>
      </c>
      <c r="AU19" s="151">
        <v>2.06</v>
      </c>
      <c r="AV19" s="161">
        <v>27440.0</v>
      </c>
      <c r="AW19" s="152">
        <f t="shared" si="27"/>
        <v>309</v>
      </c>
      <c r="AX19" s="15">
        <f t="shared" si="28"/>
        <v>636.54</v>
      </c>
      <c r="AY19" s="156">
        <f t="shared" si="29"/>
        <v>3635.34</v>
      </c>
      <c r="AZ19" s="154">
        <v>3653.0</v>
      </c>
      <c r="BA19" s="151">
        <v>4.08</v>
      </c>
      <c r="BB19" s="161">
        <v>59023.0</v>
      </c>
      <c r="BC19" s="152">
        <f t="shared" si="31"/>
        <v>931</v>
      </c>
      <c r="BD19" s="15">
        <f t="shared" si="32"/>
        <v>3798.48</v>
      </c>
      <c r="BE19" s="151">
        <v>2.06</v>
      </c>
      <c r="BF19" s="161">
        <v>27801.0</v>
      </c>
      <c r="BG19" s="152">
        <f t="shared" si="34"/>
        <v>361</v>
      </c>
      <c r="BH19" s="15">
        <f t="shared" si="35"/>
        <v>743.66</v>
      </c>
      <c r="BI19" s="156">
        <f t="shared" si="36"/>
        <v>4542.14</v>
      </c>
      <c r="BJ19" s="154">
        <v>4542.0</v>
      </c>
      <c r="BK19" s="151">
        <v>4.28</v>
      </c>
      <c r="BL19" s="161">
        <v>59825.0</v>
      </c>
      <c r="BM19" s="152">
        <f t="shared" si="38"/>
        <v>802</v>
      </c>
      <c r="BN19" s="15">
        <f t="shared" si="39"/>
        <v>3432.56</v>
      </c>
      <c r="BO19" s="151">
        <v>2.23</v>
      </c>
      <c r="BP19" s="161">
        <v>28117.0</v>
      </c>
      <c r="BQ19" s="152">
        <f t="shared" si="41"/>
        <v>316</v>
      </c>
      <c r="BR19" s="15">
        <f t="shared" si="42"/>
        <v>704.68</v>
      </c>
      <c r="BS19" s="156">
        <f t="shared" si="43"/>
        <v>4137.24</v>
      </c>
      <c r="BT19" s="154">
        <v>4137.0</v>
      </c>
      <c r="BU19" s="151">
        <v>4.28</v>
      </c>
      <c r="BV19" s="161">
        <v>60429.0</v>
      </c>
      <c r="BW19" s="152">
        <f t="shared" si="45"/>
        <v>604</v>
      </c>
      <c r="BX19" s="15">
        <f t="shared" si="46"/>
        <v>2585.12</v>
      </c>
      <c r="BY19" s="151">
        <v>2.23</v>
      </c>
      <c r="BZ19" s="161">
        <v>28355.0</v>
      </c>
      <c r="CA19" s="152">
        <f t="shared" si="48"/>
        <v>238</v>
      </c>
      <c r="CB19" s="15">
        <f t="shared" si="49"/>
        <v>530.74</v>
      </c>
      <c r="CC19" s="156">
        <f t="shared" si="50"/>
        <v>3115.86</v>
      </c>
      <c r="CD19" s="154"/>
      <c r="CE19" s="151"/>
      <c r="CF19" s="161"/>
      <c r="CG19" s="155"/>
      <c r="CH19" s="15"/>
      <c r="CI19" s="151"/>
      <c r="CJ19" s="161"/>
      <c r="CK19" s="155"/>
      <c r="CL19" s="15"/>
      <c r="CM19" s="156"/>
      <c r="CN19" s="154"/>
      <c r="CO19" s="151"/>
      <c r="CP19" s="161"/>
      <c r="CQ19" s="152"/>
      <c r="CR19" s="15"/>
      <c r="CS19" s="151"/>
      <c r="CT19" s="161"/>
      <c r="CU19" s="152"/>
      <c r="CV19" s="15"/>
      <c r="CW19" s="156"/>
      <c r="CX19" s="154"/>
      <c r="CY19" s="151"/>
      <c r="CZ19" s="161"/>
      <c r="DA19" s="152"/>
      <c r="DB19" s="157"/>
      <c r="DC19" s="151"/>
      <c r="DD19" s="161"/>
      <c r="DE19" s="152"/>
      <c r="DF19" s="157"/>
      <c r="DG19" s="158"/>
      <c r="DH19" s="154"/>
      <c r="DI19" s="151"/>
      <c r="DJ19" s="152"/>
      <c r="DK19" s="152"/>
      <c r="DL19" s="157"/>
      <c r="DM19" s="151"/>
      <c r="DN19" s="152"/>
      <c r="DO19" s="152"/>
      <c r="DP19" s="157"/>
      <c r="DQ19" s="156"/>
      <c r="DR19" s="154"/>
      <c r="DS19" s="159"/>
      <c r="DT19" s="160"/>
      <c r="DU19" s="34"/>
    </row>
    <row r="20" ht="12.75" customHeight="1">
      <c r="A20" s="48" t="s">
        <v>111</v>
      </c>
      <c r="B20" s="36" t="s">
        <v>112</v>
      </c>
      <c r="C20" s="151">
        <v>4.08</v>
      </c>
      <c r="D20" s="161">
        <v>35788.0</v>
      </c>
      <c r="E20" s="152">
        <f>D20-35337</f>
        <v>451</v>
      </c>
      <c r="F20" s="15">
        <f t="shared" si="1"/>
        <v>1840.08</v>
      </c>
      <c r="G20" s="151">
        <v>2.06</v>
      </c>
      <c r="H20" s="161">
        <v>17368.0</v>
      </c>
      <c r="I20" s="152">
        <f>H20-17206</f>
        <v>162</v>
      </c>
      <c r="J20" s="15">
        <f t="shared" si="2"/>
        <v>333.72</v>
      </c>
      <c r="K20" s="153">
        <f t="shared" si="3"/>
        <v>2173.8</v>
      </c>
      <c r="L20" s="154">
        <v>2174.0</v>
      </c>
      <c r="M20" s="151">
        <v>4.08</v>
      </c>
      <c r="N20" s="161">
        <v>36088.0</v>
      </c>
      <c r="O20" s="155">
        <f t="shared" si="5"/>
        <v>300</v>
      </c>
      <c r="P20" s="15">
        <f t="shared" si="6"/>
        <v>1224</v>
      </c>
      <c r="Q20" s="151">
        <v>2.06</v>
      </c>
      <c r="R20" s="161">
        <v>17495.0</v>
      </c>
      <c r="S20" s="155">
        <f t="shared" si="8"/>
        <v>127</v>
      </c>
      <c r="T20" s="15">
        <f t="shared" si="9"/>
        <v>261.62</v>
      </c>
      <c r="U20" s="153">
        <f t="shared" si="10"/>
        <v>1485.62</v>
      </c>
      <c r="V20" s="154">
        <v>1486.0</v>
      </c>
      <c r="W20" s="151">
        <v>4.08</v>
      </c>
      <c r="X20" s="161">
        <v>36438.0</v>
      </c>
      <c r="Y20" s="152">
        <f t="shared" si="12"/>
        <v>350</v>
      </c>
      <c r="Z20" s="15">
        <f t="shared" si="13"/>
        <v>1428</v>
      </c>
      <c r="AA20" s="151">
        <v>2.06</v>
      </c>
      <c r="AB20" s="161">
        <v>17639.0</v>
      </c>
      <c r="AC20" s="152">
        <f t="shared" si="15"/>
        <v>144</v>
      </c>
      <c r="AD20" s="15">
        <f t="shared" si="16"/>
        <v>296.64</v>
      </c>
      <c r="AE20" s="153">
        <f t="shared" si="17"/>
        <v>1724.64</v>
      </c>
      <c r="AF20" s="154">
        <v>1725.0</v>
      </c>
      <c r="AG20" s="151">
        <v>4.08</v>
      </c>
      <c r="AH20" s="161">
        <v>36732.0</v>
      </c>
      <c r="AI20" s="155">
        <f t="shared" si="19"/>
        <v>294</v>
      </c>
      <c r="AJ20" s="15">
        <f t="shared" si="51"/>
        <v>1199.52</v>
      </c>
      <c r="AK20" s="151">
        <v>2.06</v>
      </c>
      <c r="AL20" s="161">
        <v>17770.0</v>
      </c>
      <c r="AM20" s="155">
        <f t="shared" si="21"/>
        <v>131</v>
      </c>
      <c r="AN20" s="15">
        <f t="shared" si="52"/>
        <v>269.86</v>
      </c>
      <c r="AO20" s="156">
        <f t="shared" si="22"/>
        <v>1469.38</v>
      </c>
      <c r="AP20" s="154">
        <v>1469.0</v>
      </c>
      <c r="AQ20" s="151">
        <v>4.08</v>
      </c>
      <c r="AR20" s="161">
        <v>37078.0</v>
      </c>
      <c r="AS20" s="152">
        <f t="shared" si="24"/>
        <v>346</v>
      </c>
      <c r="AT20" s="15">
        <f t="shared" si="25"/>
        <v>1411.68</v>
      </c>
      <c r="AU20" s="151">
        <v>2.06</v>
      </c>
      <c r="AV20" s="161">
        <v>18010.0</v>
      </c>
      <c r="AW20" s="152">
        <f t="shared" si="27"/>
        <v>240</v>
      </c>
      <c r="AX20" s="15">
        <f t="shared" si="28"/>
        <v>494.4</v>
      </c>
      <c r="AY20" s="156">
        <f t="shared" si="29"/>
        <v>1906.08</v>
      </c>
      <c r="AZ20" s="154">
        <v>1906.0</v>
      </c>
      <c r="BA20" s="151">
        <v>4.08</v>
      </c>
      <c r="BB20" s="161">
        <v>37402.0</v>
      </c>
      <c r="BC20" s="152">
        <f t="shared" si="31"/>
        <v>324</v>
      </c>
      <c r="BD20" s="15">
        <f t="shared" si="32"/>
        <v>1321.92</v>
      </c>
      <c r="BE20" s="151">
        <v>2.06</v>
      </c>
      <c r="BF20" s="161">
        <v>18208.0</v>
      </c>
      <c r="BG20" s="152">
        <f t="shared" si="34"/>
        <v>198</v>
      </c>
      <c r="BH20" s="15">
        <f t="shared" si="35"/>
        <v>407.88</v>
      </c>
      <c r="BI20" s="156">
        <f t="shared" si="36"/>
        <v>1729.8</v>
      </c>
      <c r="BJ20" s="154">
        <v>1730.0</v>
      </c>
      <c r="BK20" s="151">
        <v>4.28</v>
      </c>
      <c r="BL20" s="161">
        <v>37707.0</v>
      </c>
      <c r="BM20" s="152">
        <f t="shared" si="38"/>
        <v>305</v>
      </c>
      <c r="BN20" s="15">
        <f t="shared" si="39"/>
        <v>1305.4</v>
      </c>
      <c r="BO20" s="151">
        <v>2.23</v>
      </c>
      <c r="BP20" s="161">
        <v>18395.0</v>
      </c>
      <c r="BQ20" s="152">
        <f t="shared" si="41"/>
        <v>187</v>
      </c>
      <c r="BR20" s="15">
        <f t="shared" si="42"/>
        <v>417.01</v>
      </c>
      <c r="BS20" s="156">
        <f t="shared" si="43"/>
        <v>1722.41</v>
      </c>
      <c r="BT20" s="154">
        <v>1722.0</v>
      </c>
      <c r="BU20" s="151">
        <v>4.28</v>
      </c>
      <c r="BV20" s="161">
        <v>37991.0</v>
      </c>
      <c r="BW20" s="152">
        <f t="shared" si="45"/>
        <v>284</v>
      </c>
      <c r="BX20" s="15">
        <f t="shared" si="46"/>
        <v>1215.52</v>
      </c>
      <c r="BY20" s="151">
        <v>2.23</v>
      </c>
      <c r="BZ20" s="161">
        <v>18574.0</v>
      </c>
      <c r="CA20" s="152">
        <f t="shared" si="48"/>
        <v>179</v>
      </c>
      <c r="CB20" s="15">
        <f t="shared" si="49"/>
        <v>399.17</v>
      </c>
      <c r="CC20" s="156">
        <f t="shared" si="50"/>
        <v>1614.69</v>
      </c>
      <c r="CD20" s="154"/>
      <c r="CE20" s="151"/>
      <c r="CF20" s="161"/>
      <c r="CG20" s="155"/>
      <c r="CH20" s="15"/>
      <c r="CI20" s="151"/>
      <c r="CJ20" s="161"/>
      <c r="CK20" s="155"/>
      <c r="CL20" s="15"/>
      <c r="CM20" s="156"/>
      <c r="CN20" s="154"/>
      <c r="CO20" s="151"/>
      <c r="CP20" s="161"/>
      <c r="CQ20" s="152"/>
      <c r="CR20" s="15"/>
      <c r="CS20" s="151"/>
      <c r="CT20" s="161"/>
      <c r="CU20" s="152"/>
      <c r="CV20" s="15"/>
      <c r="CW20" s="156"/>
      <c r="CX20" s="154"/>
      <c r="CY20" s="151"/>
      <c r="CZ20" s="161"/>
      <c r="DA20" s="152"/>
      <c r="DB20" s="157"/>
      <c r="DC20" s="151"/>
      <c r="DD20" s="161"/>
      <c r="DE20" s="152"/>
      <c r="DF20" s="157"/>
      <c r="DG20" s="158"/>
      <c r="DH20" s="156"/>
      <c r="DI20" s="151"/>
      <c r="DJ20" s="152"/>
      <c r="DK20" s="152"/>
      <c r="DL20" s="157"/>
      <c r="DM20" s="151"/>
      <c r="DN20" s="152"/>
      <c r="DO20" s="152"/>
      <c r="DP20" s="157"/>
      <c r="DQ20" s="156"/>
      <c r="DR20" s="156"/>
      <c r="DS20" s="159"/>
      <c r="DT20" s="160"/>
      <c r="DU20" s="34"/>
    </row>
    <row r="21" ht="12.75" customHeight="1">
      <c r="A21" s="48" t="s">
        <v>225</v>
      </c>
      <c r="B21" s="36" t="s">
        <v>114</v>
      </c>
      <c r="C21" s="151">
        <v>4.08</v>
      </c>
      <c r="D21" s="161">
        <v>4383.0</v>
      </c>
      <c r="E21" s="152">
        <f>D21-4354</f>
        <v>29</v>
      </c>
      <c r="F21" s="15">
        <f t="shared" si="1"/>
        <v>118.32</v>
      </c>
      <c r="G21" s="151">
        <v>2.06</v>
      </c>
      <c r="H21" s="161">
        <v>1690.0</v>
      </c>
      <c r="I21" s="152">
        <f>H21-1690</f>
        <v>0</v>
      </c>
      <c r="J21" s="15">
        <f t="shared" si="2"/>
        <v>0</v>
      </c>
      <c r="K21" s="153">
        <f t="shared" si="3"/>
        <v>118.32</v>
      </c>
      <c r="L21" s="154">
        <v>118.0</v>
      </c>
      <c r="M21" s="151">
        <v>4.08</v>
      </c>
      <c r="N21" s="152">
        <f>D21</f>
        <v>4383</v>
      </c>
      <c r="O21" s="155">
        <f t="shared" si="5"/>
        <v>0</v>
      </c>
      <c r="P21" s="15">
        <f t="shared" si="6"/>
        <v>0</v>
      </c>
      <c r="Q21" s="151">
        <v>2.06</v>
      </c>
      <c r="R21" s="152">
        <f>H21</f>
        <v>1690</v>
      </c>
      <c r="S21" s="155">
        <f t="shared" si="8"/>
        <v>0</v>
      </c>
      <c r="T21" s="15">
        <f t="shared" si="9"/>
        <v>0</v>
      </c>
      <c r="U21" s="153">
        <f t="shared" si="10"/>
        <v>0</v>
      </c>
      <c r="V21" s="154">
        <v>0.0</v>
      </c>
      <c r="W21" s="151">
        <v>4.08</v>
      </c>
      <c r="X21" s="161">
        <v>5145.0</v>
      </c>
      <c r="Y21" s="152">
        <f t="shared" si="12"/>
        <v>762</v>
      </c>
      <c r="Z21" s="15">
        <f t="shared" si="13"/>
        <v>3108.96</v>
      </c>
      <c r="AA21" s="151">
        <v>2.06</v>
      </c>
      <c r="AB21" s="161">
        <v>2062.0</v>
      </c>
      <c r="AC21" s="152">
        <f t="shared" si="15"/>
        <v>372</v>
      </c>
      <c r="AD21" s="15">
        <f t="shared" si="16"/>
        <v>766.32</v>
      </c>
      <c r="AE21" s="153">
        <f t="shared" si="17"/>
        <v>3875.28</v>
      </c>
      <c r="AF21" s="154">
        <v>3875.0</v>
      </c>
      <c r="AG21" s="151">
        <v>4.08</v>
      </c>
      <c r="AH21" s="161">
        <v>5322.0</v>
      </c>
      <c r="AI21" s="155">
        <f t="shared" si="19"/>
        <v>177</v>
      </c>
      <c r="AJ21" s="15">
        <f t="shared" si="51"/>
        <v>722.16</v>
      </c>
      <c r="AK21" s="151">
        <v>2.06</v>
      </c>
      <c r="AL21" s="161">
        <v>2158.0</v>
      </c>
      <c r="AM21" s="155">
        <f t="shared" si="21"/>
        <v>96</v>
      </c>
      <c r="AN21" s="15">
        <f t="shared" si="52"/>
        <v>197.76</v>
      </c>
      <c r="AO21" s="156">
        <f t="shared" si="22"/>
        <v>919.92</v>
      </c>
      <c r="AP21" s="154">
        <v>920.0</v>
      </c>
      <c r="AQ21" s="151">
        <v>4.08</v>
      </c>
      <c r="AR21" s="161">
        <v>5322.0</v>
      </c>
      <c r="AS21" s="152">
        <f t="shared" si="24"/>
        <v>0</v>
      </c>
      <c r="AT21" s="15">
        <f t="shared" si="25"/>
        <v>0</v>
      </c>
      <c r="AU21" s="151">
        <v>2.06</v>
      </c>
      <c r="AV21" s="161">
        <v>2158.0</v>
      </c>
      <c r="AW21" s="152">
        <f t="shared" si="27"/>
        <v>0</v>
      </c>
      <c r="AX21" s="15">
        <f t="shared" si="28"/>
        <v>0</v>
      </c>
      <c r="AY21" s="156">
        <f t="shared" si="29"/>
        <v>0</v>
      </c>
      <c r="AZ21" s="154">
        <v>0.0</v>
      </c>
      <c r="BA21" s="151">
        <v>4.08</v>
      </c>
      <c r="BB21" s="161">
        <v>5322.0</v>
      </c>
      <c r="BC21" s="152">
        <f t="shared" si="31"/>
        <v>0</v>
      </c>
      <c r="BD21" s="15">
        <f t="shared" si="32"/>
        <v>0</v>
      </c>
      <c r="BE21" s="151">
        <v>2.06</v>
      </c>
      <c r="BF21" s="161">
        <v>2158.0</v>
      </c>
      <c r="BG21" s="152">
        <f t="shared" si="34"/>
        <v>0</v>
      </c>
      <c r="BH21" s="15">
        <f t="shared" si="35"/>
        <v>0</v>
      </c>
      <c r="BI21" s="156">
        <f t="shared" si="36"/>
        <v>0</v>
      </c>
      <c r="BJ21" s="154">
        <v>0.0</v>
      </c>
      <c r="BK21" s="151">
        <v>4.28</v>
      </c>
      <c r="BL21" s="161">
        <v>5322.0</v>
      </c>
      <c r="BM21" s="152">
        <f t="shared" si="38"/>
        <v>0</v>
      </c>
      <c r="BN21" s="15">
        <f t="shared" si="39"/>
        <v>0</v>
      </c>
      <c r="BO21" s="151">
        <v>2.23</v>
      </c>
      <c r="BP21" s="161">
        <v>2158.0</v>
      </c>
      <c r="BQ21" s="152">
        <f t="shared" si="41"/>
        <v>0</v>
      </c>
      <c r="BR21" s="15">
        <f t="shared" si="42"/>
        <v>0</v>
      </c>
      <c r="BS21" s="156">
        <f t="shared" si="43"/>
        <v>0</v>
      </c>
      <c r="BT21" s="156"/>
      <c r="BU21" s="151">
        <v>4.28</v>
      </c>
      <c r="BV21" s="161">
        <v>5322.0</v>
      </c>
      <c r="BW21" s="152">
        <f t="shared" si="45"/>
        <v>0</v>
      </c>
      <c r="BX21" s="15">
        <f t="shared" si="46"/>
        <v>0</v>
      </c>
      <c r="BY21" s="151">
        <v>2.23</v>
      </c>
      <c r="BZ21" s="161">
        <v>2158.0</v>
      </c>
      <c r="CA21" s="152">
        <f t="shared" si="48"/>
        <v>0</v>
      </c>
      <c r="CB21" s="15">
        <f t="shared" si="49"/>
        <v>0</v>
      </c>
      <c r="CC21" s="156">
        <f t="shared" si="50"/>
        <v>0</v>
      </c>
      <c r="CD21" s="154"/>
      <c r="CE21" s="151"/>
      <c r="CF21" s="161"/>
      <c r="CG21" s="155"/>
      <c r="CH21" s="15"/>
      <c r="CI21" s="151"/>
      <c r="CJ21" s="161"/>
      <c r="CK21" s="155"/>
      <c r="CL21" s="15"/>
      <c r="CM21" s="156"/>
      <c r="CN21" s="154"/>
      <c r="CO21" s="151"/>
      <c r="CP21" s="161"/>
      <c r="CQ21" s="152"/>
      <c r="CR21" s="15"/>
      <c r="CS21" s="151"/>
      <c r="CT21" s="161"/>
      <c r="CU21" s="152"/>
      <c r="CV21" s="15"/>
      <c r="CW21" s="156"/>
      <c r="CX21" s="154"/>
      <c r="CY21" s="151"/>
      <c r="CZ21" s="161"/>
      <c r="DA21" s="152"/>
      <c r="DB21" s="157"/>
      <c r="DC21" s="151"/>
      <c r="DD21" s="161"/>
      <c r="DE21" s="152"/>
      <c r="DF21" s="157"/>
      <c r="DG21" s="158"/>
      <c r="DH21" s="156"/>
      <c r="DI21" s="151"/>
      <c r="DJ21" s="152"/>
      <c r="DK21" s="152"/>
      <c r="DL21" s="157"/>
      <c r="DM21" s="151"/>
      <c r="DN21" s="152"/>
      <c r="DO21" s="152"/>
      <c r="DP21" s="157"/>
      <c r="DQ21" s="156"/>
      <c r="DR21" s="156"/>
      <c r="DS21" s="159"/>
      <c r="DT21" s="160"/>
      <c r="DU21" s="34"/>
    </row>
    <row r="22" ht="12.75" customHeight="1">
      <c r="A22" s="48" t="s">
        <v>226</v>
      </c>
      <c r="B22" s="36" t="s">
        <v>114</v>
      </c>
      <c r="C22" s="151">
        <v>4.08</v>
      </c>
      <c r="D22" s="161">
        <v>24942.0</v>
      </c>
      <c r="E22" s="152">
        <f>D22-24014</f>
        <v>928</v>
      </c>
      <c r="F22" s="15">
        <f t="shared" si="1"/>
        <v>3786.24</v>
      </c>
      <c r="G22" s="151">
        <v>2.06</v>
      </c>
      <c r="H22" s="161">
        <v>12284.0</v>
      </c>
      <c r="I22" s="152">
        <f>H22-12206</f>
        <v>78</v>
      </c>
      <c r="J22" s="15">
        <f t="shared" si="2"/>
        <v>160.68</v>
      </c>
      <c r="K22" s="153">
        <f t="shared" si="3"/>
        <v>3946.92</v>
      </c>
      <c r="L22" s="154">
        <v>3947.0</v>
      </c>
      <c r="M22" s="151">
        <v>4.08</v>
      </c>
      <c r="N22" s="161">
        <v>26143.0</v>
      </c>
      <c r="O22" s="155">
        <f t="shared" si="5"/>
        <v>1201</v>
      </c>
      <c r="P22" s="15">
        <f t="shared" si="6"/>
        <v>4900.08</v>
      </c>
      <c r="Q22" s="151">
        <v>2.06</v>
      </c>
      <c r="R22" s="161">
        <v>12880.0</v>
      </c>
      <c r="S22" s="155">
        <f t="shared" si="8"/>
        <v>596</v>
      </c>
      <c r="T22" s="15">
        <f t="shared" si="9"/>
        <v>1227.76</v>
      </c>
      <c r="U22" s="192">
        <f t="shared" si="10"/>
        <v>6127.84</v>
      </c>
      <c r="V22" s="154">
        <v>6128.0</v>
      </c>
      <c r="W22" s="151">
        <v>4.08</v>
      </c>
      <c r="X22" s="161">
        <v>27446.0</v>
      </c>
      <c r="Y22" s="152">
        <f t="shared" si="12"/>
        <v>1303</v>
      </c>
      <c r="Z22" s="15">
        <f t="shared" si="13"/>
        <v>5316.24</v>
      </c>
      <c r="AA22" s="151">
        <v>2.06</v>
      </c>
      <c r="AB22" s="161">
        <v>13525.0</v>
      </c>
      <c r="AC22" s="152">
        <f t="shared" si="15"/>
        <v>645</v>
      </c>
      <c r="AD22" s="15">
        <f t="shared" si="16"/>
        <v>1328.7</v>
      </c>
      <c r="AE22" s="153">
        <f t="shared" si="17"/>
        <v>6644.94</v>
      </c>
      <c r="AF22" s="154">
        <v>6645.0</v>
      </c>
      <c r="AG22" s="151">
        <v>4.08</v>
      </c>
      <c r="AH22" s="161">
        <v>27656.0</v>
      </c>
      <c r="AI22" s="155">
        <f t="shared" si="19"/>
        <v>210</v>
      </c>
      <c r="AJ22" s="15">
        <f t="shared" si="51"/>
        <v>856.8</v>
      </c>
      <c r="AK22" s="151">
        <v>2.06</v>
      </c>
      <c r="AL22" s="161">
        <v>13627.0</v>
      </c>
      <c r="AM22" s="155">
        <f t="shared" si="21"/>
        <v>102</v>
      </c>
      <c r="AN22" s="15">
        <f t="shared" si="52"/>
        <v>210.12</v>
      </c>
      <c r="AO22" s="156">
        <f t="shared" si="22"/>
        <v>1066.92</v>
      </c>
      <c r="AP22" s="154">
        <v>1067.0</v>
      </c>
      <c r="AQ22" s="151">
        <v>4.08</v>
      </c>
      <c r="AR22" s="161">
        <v>27863.0</v>
      </c>
      <c r="AS22" s="152">
        <f t="shared" si="24"/>
        <v>207</v>
      </c>
      <c r="AT22" s="15">
        <f t="shared" si="25"/>
        <v>844.56</v>
      </c>
      <c r="AU22" s="151">
        <v>2.06</v>
      </c>
      <c r="AV22" s="161">
        <v>13708.0</v>
      </c>
      <c r="AW22" s="152">
        <f t="shared" si="27"/>
        <v>81</v>
      </c>
      <c r="AX22" s="15">
        <f t="shared" si="28"/>
        <v>166.86</v>
      </c>
      <c r="AY22" s="156">
        <f t="shared" si="29"/>
        <v>1011.42</v>
      </c>
      <c r="AZ22" s="44">
        <v>1011.0</v>
      </c>
      <c r="BA22" s="151">
        <v>4.08</v>
      </c>
      <c r="BB22" s="161">
        <v>28053.0</v>
      </c>
      <c r="BC22" s="152">
        <f t="shared" si="31"/>
        <v>190</v>
      </c>
      <c r="BD22" s="15">
        <f t="shared" si="32"/>
        <v>775.2</v>
      </c>
      <c r="BE22" s="151">
        <v>2.06</v>
      </c>
      <c r="BF22" s="161">
        <v>13772.0</v>
      </c>
      <c r="BG22" s="152">
        <f t="shared" si="34"/>
        <v>64</v>
      </c>
      <c r="BH22" s="15">
        <f t="shared" si="35"/>
        <v>131.84</v>
      </c>
      <c r="BI22" s="156">
        <f t="shared" si="36"/>
        <v>907.04</v>
      </c>
      <c r="BJ22" s="154">
        <v>907.0</v>
      </c>
      <c r="BK22" s="151">
        <v>4.28</v>
      </c>
      <c r="BL22" s="161">
        <v>28237.0</v>
      </c>
      <c r="BM22" s="152">
        <f t="shared" si="38"/>
        <v>184</v>
      </c>
      <c r="BN22" s="15">
        <f t="shared" si="39"/>
        <v>787.52</v>
      </c>
      <c r="BO22" s="151">
        <v>2.23</v>
      </c>
      <c r="BP22" s="161">
        <v>13833.0</v>
      </c>
      <c r="BQ22" s="152">
        <f t="shared" si="41"/>
        <v>61</v>
      </c>
      <c r="BR22" s="15">
        <f t="shared" si="42"/>
        <v>136.03</v>
      </c>
      <c r="BS22" s="156">
        <f t="shared" si="43"/>
        <v>923.55</v>
      </c>
      <c r="BT22" s="154">
        <v>924.0</v>
      </c>
      <c r="BU22" s="151">
        <v>4.28</v>
      </c>
      <c r="BV22" s="161">
        <v>28407.0</v>
      </c>
      <c r="BW22" s="152">
        <f t="shared" si="45"/>
        <v>170</v>
      </c>
      <c r="BX22" s="15">
        <f t="shared" si="46"/>
        <v>727.6</v>
      </c>
      <c r="BY22" s="151">
        <v>2.23</v>
      </c>
      <c r="BZ22" s="161">
        <v>13894.0</v>
      </c>
      <c r="CA22" s="152">
        <f t="shared" si="48"/>
        <v>61</v>
      </c>
      <c r="CB22" s="15">
        <f t="shared" si="49"/>
        <v>136.03</v>
      </c>
      <c r="CC22" s="156">
        <f t="shared" si="50"/>
        <v>863.63</v>
      </c>
      <c r="CD22" s="154"/>
      <c r="CE22" s="151"/>
      <c r="CF22" s="161"/>
      <c r="CG22" s="155"/>
      <c r="CH22" s="15"/>
      <c r="CI22" s="151"/>
      <c r="CJ22" s="161"/>
      <c r="CK22" s="155"/>
      <c r="CL22" s="15"/>
      <c r="CM22" s="156"/>
      <c r="CN22" s="154"/>
      <c r="CO22" s="151"/>
      <c r="CP22" s="161"/>
      <c r="CQ22" s="152"/>
      <c r="CR22" s="15"/>
      <c r="CS22" s="151"/>
      <c r="CT22" s="161"/>
      <c r="CU22" s="152"/>
      <c r="CV22" s="15"/>
      <c r="CW22" s="156"/>
      <c r="CX22" s="154"/>
      <c r="CY22" s="151"/>
      <c r="CZ22" s="161"/>
      <c r="DA22" s="152"/>
      <c r="DB22" s="157"/>
      <c r="DC22" s="151"/>
      <c r="DD22" s="161"/>
      <c r="DE22" s="152"/>
      <c r="DF22" s="157"/>
      <c r="DG22" s="158"/>
      <c r="DH22" s="156"/>
      <c r="DI22" s="151"/>
      <c r="DJ22" s="152"/>
      <c r="DK22" s="152"/>
      <c r="DL22" s="157"/>
      <c r="DM22" s="151"/>
      <c r="DN22" s="152"/>
      <c r="DO22" s="152"/>
      <c r="DP22" s="157"/>
      <c r="DQ22" s="156"/>
      <c r="DR22" s="156"/>
      <c r="DS22" s="159"/>
      <c r="DT22" s="160"/>
      <c r="DU22" s="34"/>
    </row>
    <row r="23" ht="12.75" customHeight="1">
      <c r="A23" s="48" t="s">
        <v>116</v>
      </c>
      <c r="B23" s="49" t="s">
        <v>117</v>
      </c>
      <c r="C23" s="151">
        <v>4.08</v>
      </c>
      <c r="D23" s="161">
        <v>68403.0</v>
      </c>
      <c r="E23" s="152">
        <f>D23-66955</f>
        <v>1448</v>
      </c>
      <c r="F23" s="15">
        <f t="shared" si="1"/>
        <v>5907.84</v>
      </c>
      <c r="G23" s="151">
        <v>2.06</v>
      </c>
      <c r="H23" s="161">
        <v>33312.0</v>
      </c>
      <c r="I23" s="152">
        <f>H23-32642</f>
        <v>670</v>
      </c>
      <c r="J23" s="15">
        <f t="shared" si="2"/>
        <v>1380.2</v>
      </c>
      <c r="K23" s="153">
        <f t="shared" si="3"/>
        <v>7288.04</v>
      </c>
      <c r="L23" s="154">
        <v>7288.0</v>
      </c>
      <c r="M23" s="151">
        <v>4.08</v>
      </c>
      <c r="N23" s="161">
        <v>69479.0</v>
      </c>
      <c r="O23" s="155">
        <f t="shared" si="5"/>
        <v>1076</v>
      </c>
      <c r="P23" s="15">
        <f t="shared" si="6"/>
        <v>4390.08</v>
      </c>
      <c r="Q23" s="151">
        <v>2.06</v>
      </c>
      <c r="R23" s="161">
        <v>33852.0</v>
      </c>
      <c r="S23" s="155">
        <f t="shared" si="8"/>
        <v>540</v>
      </c>
      <c r="T23" s="15">
        <f t="shared" si="9"/>
        <v>1112.4</v>
      </c>
      <c r="U23" s="153">
        <f t="shared" si="10"/>
        <v>5502.48</v>
      </c>
      <c r="V23" s="154">
        <v>5502.0</v>
      </c>
      <c r="W23" s="151">
        <v>4.08</v>
      </c>
      <c r="X23" s="161">
        <v>70881.0</v>
      </c>
      <c r="Y23" s="152">
        <f t="shared" si="12"/>
        <v>1402</v>
      </c>
      <c r="Z23" s="15">
        <f t="shared" si="13"/>
        <v>5720.16</v>
      </c>
      <c r="AA23" s="151">
        <v>2.06</v>
      </c>
      <c r="AB23" s="161">
        <v>34544.0</v>
      </c>
      <c r="AC23" s="152">
        <f t="shared" si="15"/>
        <v>692</v>
      </c>
      <c r="AD23" s="15">
        <f t="shared" si="16"/>
        <v>1425.52</v>
      </c>
      <c r="AE23" s="153">
        <f t="shared" si="17"/>
        <v>7145.68</v>
      </c>
      <c r="AF23" s="154">
        <v>7146.0</v>
      </c>
      <c r="AG23" s="151">
        <v>4.08</v>
      </c>
      <c r="AH23" s="161">
        <v>71237.0</v>
      </c>
      <c r="AI23" s="155">
        <f t="shared" si="19"/>
        <v>356</v>
      </c>
      <c r="AJ23" s="15">
        <f t="shared" si="51"/>
        <v>1452.48</v>
      </c>
      <c r="AK23" s="151">
        <v>2.06</v>
      </c>
      <c r="AL23" s="161">
        <v>34726.0</v>
      </c>
      <c r="AM23" s="155">
        <f t="shared" si="21"/>
        <v>182</v>
      </c>
      <c r="AN23" s="15">
        <f t="shared" si="52"/>
        <v>374.92</v>
      </c>
      <c r="AO23" s="156">
        <f t="shared" si="22"/>
        <v>1827.4</v>
      </c>
      <c r="AP23" s="154">
        <v>1827.0</v>
      </c>
      <c r="AQ23" s="151">
        <v>4.08</v>
      </c>
      <c r="AR23" s="161">
        <v>71311.0</v>
      </c>
      <c r="AS23" s="152">
        <f t="shared" si="24"/>
        <v>74</v>
      </c>
      <c r="AT23" s="15">
        <f t="shared" si="25"/>
        <v>301.92</v>
      </c>
      <c r="AU23" s="151">
        <v>2.06</v>
      </c>
      <c r="AV23" s="161">
        <v>34755.0</v>
      </c>
      <c r="AW23" s="152">
        <f t="shared" si="27"/>
        <v>29</v>
      </c>
      <c r="AX23" s="15">
        <f t="shared" si="28"/>
        <v>59.74</v>
      </c>
      <c r="AY23" s="156">
        <f t="shared" si="29"/>
        <v>361.66</v>
      </c>
      <c r="AZ23" s="154">
        <v>362.0</v>
      </c>
      <c r="BA23" s="151">
        <v>4.08</v>
      </c>
      <c r="BB23" s="161">
        <v>71372.0</v>
      </c>
      <c r="BC23" s="152">
        <f t="shared" si="31"/>
        <v>61</v>
      </c>
      <c r="BD23" s="15">
        <f t="shared" si="32"/>
        <v>248.88</v>
      </c>
      <c r="BE23" s="151">
        <v>2.06</v>
      </c>
      <c r="BF23" s="161">
        <v>34775.0</v>
      </c>
      <c r="BG23" s="152">
        <f t="shared" si="34"/>
        <v>20</v>
      </c>
      <c r="BH23" s="15">
        <f t="shared" si="35"/>
        <v>41.2</v>
      </c>
      <c r="BI23" s="156">
        <f t="shared" si="36"/>
        <v>290.08</v>
      </c>
      <c r="BJ23" s="154">
        <v>290.0</v>
      </c>
      <c r="BK23" s="151">
        <v>4.28</v>
      </c>
      <c r="BL23" s="161">
        <v>71423.0</v>
      </c>
      <c r="BM23" s="152">
        <f t="shared" si="38"/>
        <v>51</v>
      </c>
      <c r="BN23" s="15">
        <f t="shared" si="39"/>
        <v>218.28</v>
      </c>
      <c r="BO23" s="151">
        <v>2.23</v>
      </c>
      <c r="BP23" s="161">
        <v>34794.0</v>
      </c>
      <c r="BQ23" s="152">
        <f t="shared" si="41"/>
        <v>19</v>
      </c>
      <c r="BR23" s="15">
        <f t="shared" si="42"/>
        <v>42.37</v>
      </c>
      <c r="BS23" s="156">
        <f t="shared" si="43"/>
        <v>260.65</v>
      </c>
      <c r="BT23" s="154">
        <v>261.0</v>
      </c>
      <c r="BU23" s="151">
        <v>4.28</v>
      </c>
      <c r="BV23" s="161">
        <v>71705.0</v>
      </c>
      <c r="BW23" s="152">
        <f t="shared" si="45"/>
        <v>282</v>
      </c>
      <c r="BX23" s="15">
        <f t="shared" si="46"/>
        <v>1206.96</v>
      </c>
      <c r="BY23" s="151">
        <v>2.23</v>
      </c>
      <c r="BZ23" s="161">
        <v>34884.0</v>
      </c>
      <c r="CA23" s="152">
        <f t="shared" si="48"/>
        <v>90</v>
      </c>
      <c r="CB23" s="15">
        <f t="shared" si="49"/>
        <v>200.7</v>
      </c>
      <c r="CC23" s="156">
        <f t="shared" si="50"/>
        <v>1407.66</v>
      </c>
      <c r="CD23" s="154"/>
      <c r="CE23" s="151"/>
      <c r="CF23" s="161"/>
      <c r="CG23" s="155"/>
      <c r="CH23" s="15"/>
      <c r="CI23" s="151"/>
      <c r="CJ23" s="161"/>
      <c r="CK23" s="155"/>
      <c r="CL23" s="15"/>
      <c r="CM23" s="156"/>
      <c r="CN23" s="154"/>
      <c r="CO23" s="151"/>
      <c r="CP23" s="161"/>
      <c r="CQ23" s="152"/>
      <c r="CR23" s="15"/>
      <c r="CS23" s="151"/>
      <c r="CT23" s="161"/>
      <c r="CU23" s="152"/>
      <c r="CV23" s="15"/>
      <c r="CW23" s="156"/>
      <c r="CX23" s="154"/>
      <c r="CY23" s="151"/>
      <c r="CZ23" s="161"/>
      <c r="DA23" s="152"/>
      <c r="DB23" s="157"/>
      <c r="DC23" s="151"/>
      <c r="DD23" s="161"/>
      <c r="DE23" s="152"/>
      <c r="DF23" s="157"/>
      <c r="DG23" s="158"/>
      <c r="DH23" s="156"/>
      <c r="DI23" s="151"/>
      <c r="DJ23" s="152"/>
      <c r="DK23" s="152"/>
      <c r="DL23" s="157"/>
      <c r="DM23" s="151"/>
      <c r="DN23" s="152"/>
      <c r="DO23" s="152"/>
      <c r="DP23" s="157"/>
      <c r="DQ23" s="156"/>
      <c r="DR23" s="156"/>
      <c r="DS23" s="159"/>
      <c r="DT23" s="160"/>
      <c r="DU23" s="34"/>
    </row>
    <row r="24" ht="12.75" customHeight="1">
      <c r="A24" s="48" t="s">
        <v>118</v>
      </c>
      <c r="B24" s="36" t="s">
        <v>119</v>
      </c>
      <c r="C24" s="151">
        <v>4.08</v>
      </c>
      <c r="D24" s="161">
        <v>46919.0</v>
      </c>
      <c r="E24" s="152">
        <f>D24-43992</f>
        <v>2927</v>
      </c>
      <c r="F24" s="15">
        <f t="shared" si="1"/>
        <v>11942.16</v>
      </c>
      <c r="G24" s="151">
        <v>2.06</v>
      </c>
      <c r="H24" s="161">
        <v>20483.0</v>
      </c>
      <c r="I24" s="152">
        <f>H24-19227</f>
        <v>1256</v>
      </c>
      <c r="J24" s="15">
        <f t="shared" si="2"/>
        <v>2587.36</v>
      </c>
      <c r="K24" s="153">
        <f t="shared" si="3"/>
        <v>14529.52</v>
      </c>
      <c r="L24" s="154">
        <v>14530.0</v>
      </c>
      <c r="M24" s="151">
        <v>4.08</v>
      </c>
      <c r="N24" s="161">
        <v>49560.0</v>
      </c>
      <c r="O24" s="155">
        <f t="shared" si="5"/>
        <v>2641</v>
      </c>
      <c r="P24" s="15">
        <f t="shared" si="6"/>
        <v>10775.28</v>
      </c>
      <c r="Q24" s="151">
        <v>2.06</v>
      </c>
      <c r="R24" s="161">
        <v>21613.0</v>
      </c>
      <c r="S24" s="155">
        <f t="shared" si="8"/>
        <v>1130</v>
      </c>
      <c r="T24" s="15">
        <f t="shared" si="9"/>
        <v>2327.8</v>
      </c>
      <c r="U24" s="153">
        <f t="shared" si="10"/>
        <v>13103.08</v>
      </c>
      <c r="V24" s="154">
        <v>13103.0</v>
      </c>
      <c r="W24" s="151">
        <v>4.08</v>
      </c>
      <c r="X24" s="161">
        <v>52444.0</v>
      </c>
      <c r="Y24" s="152">
        <f t="shared" si="12"/>
        <v>2884</v>
      </c>
      <c r="Z24" s="15">
        <f t="shared" si="13"/>
        <v>11766.72</v>
      </c>
      <c r="AA24" s="151">
        <v>2.06</v>
      </c>
      <c r="AB24" s="161">
        <v>22878.0</v>
      </c>
      <c r="AC24" s="152">
        <f t="shared" si="15"/>
        <v>1265</v>
      </c>
      <c r="AD24" s="15">
        <f t="shared" si="16"/>
        <v>2605.9</v>
      </c>
      <c r="AE24" s="153">
        <f t="shared" si="17"/>
        <v>14372.62</v>
      </c>
      <c r="AF24" s="154">
        <v>14373.0</v>
      </c>
      <c r="AG24" s="151">
        <v>4.08</v>
      </c>
      <c r="AH24" s="161">
        <v>53935.0</v>
      </c>
      <c r="AI24" s="155">
        <f t="shared" si="19"/>
        <v>1491</v>
      </c>
      <c r="AJ24" s="15">
        <f t="shared" si="51"/>
        <v>6083.28</v>
      </c>
      <c r="AK24" s="151">
        <v>2.06</v>
      </c>
      <c r="AL24" s="161">
        <v>23334.0</v>
      </c>
      <c r="AM24" s="155">
        <f t="shared" si="21"/>
        <v>456</v>
      </c>
      <c r="AN24" s="15">
        <f t="shared" si="52"/>
        <v>939.36</v>
      </c>
      <c r="AO24" s="156">
        <f t="shared" si="22"/>
        <v>7022.64</v>
      </c>
      <c r="AP24" s="154">
        <v>7023.0</v>
      </c>
      <c r="AQ24" s="151">
        <v>4.08</v>
      </c>
      <c r="AR24" s="161">
        <v>54729.0</v>
      </c>
      <c r="AS24" s="152">
        <f t="shared" si="24"/>
        <v>794</v>
      </c>
      <c r="AT24" s="15">
        <f t="shared" si="25"/>
        <v>3239.52</v>
      </c>
      <c r="AU24" s="151">
        <v>2.06</v>
      </c>
      <c r="AV24" s="161">
        <v>23697.0</v>
      </c>
      <c r="AW24" s="152">
        <f t="shared" si="27"/>
        <v>363</v>
      </c>
      <c r="AX24" s="15">
        <f t="shared" si="28"/>
        <v>747.78</v>
      </c>
      <c r="AY24" s="156">
        <f t="shared" si="29"/>
        <v>3987.3</v>
      </c>
      <c r="AZ24" s="154">
        <v>3987.0</v>
      </c>
      <c r="BA24" s="151">
        <v>4.08</v>
      </c>
      <c r="BB24" s="161">
        <v>55426.0</v>
      </c>
      <c r="BC24" s="152">
        <f t="shared" si="31"/>
        <v>697</v>
      </c>
      <c r="BD24" s="15">
        <f t="shared" si="32"/>
        <v>2843.76</v>
      </c>
      <c r="BE24" s="151">
        <v>2.06</v>
      </c>
      <c r="BF24" s="161">
        <v>24098.0</v>
      </c>
      <c r="BG24" s="152">
        <f t="shared" si="34"/>
        <v>401</v>
      </c>
      <c r="BH24" s="15">
        <f t="shared" si="35"/>
        <v>826.06</v>
      </c>
      <c r="BI24" s="156">
        <f t="shared" si="36"/>
        <v>3669.82</v>
      </c>
      <c r="BJ24" s="154">
        <v>3670.0</v>
      </c>
      <c r="BK24" s="151">
        <v>4.28</v>
      </c>
      <c r="BL24" s="161">
        <v>55916.0</v>
      </c>
      <c r="BM24" s="152">
        <f t="shared" si="38"/>
        <v>490</v>
      </c>
      <c r="BN24" s="15">
        <f t="shared" si="39"/>
        <v>2097.2</v>
      </c>
      <c r="BO24" s="151">
        <v>2.23</v>
      </c>
      <c r="BP24" s="161">
        <v>24236.0</v>
      </c>
      <c r="BQ24" s="152">
        <f t="shared" si="41"/>
        <v>138</v>
      </c>
      <c r="BR24" s="15">
        <f t="shared" si="42"/>
        <v>307.74</v>
      </c>
      <c r="BS24" s="156">
        <f t="shared" si="43"/>
        <v>2404.94</v>
      </c>
      <c r="BT24" s="154">
        <v>2405.0</v>
      </c>
      <c r="BU24" s="151">
        <v>4.28</v>
      </c>
      <c r="BV24" s="161">
        <v>56329.0</v>
      </c>
      <c r="BW24" s="152">
        <f t="shared" si="45"/>
        <v>413</v>
      </c>
      <c r="BX24" s="15">
        <f t="shared" si="46"/>
        <v>1767.64</v>
      </c>
      <c r="BY24" s="151">
        <v>2.23</v>
      </c>
      <c r="BZ24" s="161">
        <v>24370.0</v>
      </c>
      <c r="CA24" s="152">
        <f t="shared" si="48"/>
        <v>134</v>
      </c>
      <c r="CB24" s="15">
        <f t="shared" si="49"/>
        <v>298.82</v>
      </c>
      <c r="CC24" s="156">
        <f t="shared" si="50"/>
        <v>2066.46</v>
      </c>
      <c r="CD24" s="154"/>
      <c r="CE24" s="151"/>
      <c r="CF24" s="161"/>
      <c r="CG24" s="155"/>
      <c r="CH24" s="15"/>
      <c r="CI24" s="151"/>
      <c r="CJ24" s="161"/>
      <c r="CK24" s="155"/>
      <c r="CL24" s="15"/>
      <c r="CM24" s="156"/>
      <c r="CN24" s="154"/>
      <c r="CO24" s="151"/>
      <c r="CP24" s="161"/>
      <c r="CQ24" s="152"/>
      <c r="CR24" s="15"/>
      <c r="CS24" s="151"/>
      <c r="CT24" s="161"/>
      <c r="CU24" s="152"/>
      <c r="CV24" s="15"/>
      <c r="CW24" s="156"/>
      <c r="CX24" s="154"/>
      <c r="CY24" s="151"/>
      <c r="CZ24" s="161"/>
      <c r="DA24" s="152"/>
      <c r="DB24" s="157"/>
      <c r="DC24" s="151"/>
      <c r="DD24" s="161"/>
      <c r="DE24" s="152"/>
      <c r="DF24" s="157"/>
      <c r="DG24" s="158"/>
      <c r="DH24" s="156"/>
      <c r="DI24" s="151"/>
      <c r="DJ24" s="152"/>
      <c r="DK24" s="152"/>
      <c r="DL24" s="157"/>
      <c r="DM24" s="151"/>
      <c r="DN24" s="152"/>
      <c r="DO24" s="152"/>
      <c r="DP24" s="157"/>
      <c r="DQ24" s="156"/>
      <c r="DR24" s="156"/>
      <c r="DS24" s="159"/>
      <c r="DT24" s="160"/>
      <c r="DU24" s="34"/>
    </row>
    <row r="25" ht="12.75" customHeight="1">
      <c r="A25" s="48" t="s">
        <v>120</v>
      </c>
      <c r="B25" s="36" t="s">
        <v>121</v>
      </c>
      <c r="C25" s="151">
        <v>4.08</v>
      </c>
      <c r="D25" s="152">
        <v>0.0</v>
      </c>
      <c r="E25" s="152">
        <f>D25-0</f>
        <v>0</v>
      </c>
      <c r="F25" s="15">
        <f t="shared" si="1"/>
        <v>0</v>
      </c>
      <c r="G25" s="151">
        <v>2.06</v>
      </c>
      <c r="H25" s="152">
        <v>0.0</v>
      </c>
      <c r="I25" s="152">
        <f>H25-0</f>
        <v>0</v>
      </c>
      <c r="J25" s="15">
        <f t="shared" si="2"/>
        <v>0</v>
      </c>
      <c r="K25" s="153">
        <f t="shared" si="3"/>
        <v>0</v>
      </c>
      <c r="L25" s="154">
        <v>0.0</v>
      </c>
      <c r="M25" s="151">
        <v>4.08</v>
      </c>
      <c r="N25" s="161">
        <v>580.0</v>
      </c>
      <c r="O25" s="155">
        <f t="shared" si="5"/>
        <v>580</v>
      </c>
      <c r="P25" s="15">
        <f t="shared" si="6"/>
        <v>2366.4</v>
      </c>
      <c r="Q25" s="151">
        <v>2.06</v>
      </c>
      <c r="R25" s="161">
        <v>274.0</v>
      </c>
      <c r="S25" s="155">
        <f t="shared" si="8"/>
        <v>274</v>
      </c>
      <c r="T25" s="15">
        <f t="shared" si="9"/>
        <v>564.44</v>
      </c>
      <c r="U25" s="153">
        <f t="shared" si="10"/>
        <v>2930.84</v>
      </c>
      <c r="V25" s="154">
        <v>2931.0</v>
      </c>
      <c r="W25" s="151">
        <v>4.08</v>
      </c>
      <c r="X25" s="161">
        <v>1111.0</v>
      </c>
      <c r="Y25" s="152">
        <f t="shared" si="12"/>
        <v>531</v>
      </c>
      <c r="Z25" s="15">
        <f t="shared" si="13"/>
        <v>2166.48</v>
      </c>
      <c r="AA25" s="151">
        <v>2.06</v>
      </c>
      <c r="AB25" s="161">
        <v>572.0</v>
      </c>
      <c r="AC25" s="152">
        <f t="shared" si="15"/>
        <v>298</v>
      </c>
      <c r="AD25" s="15">
        <f t="shared" si="16"/>
        <v>613.88</v>
      </c>
      <c r="AE25" s="153">
        <f t="shared" si="17"/>
        <v>2780.36</v>
      </c>
      <c r="AF25" s="154">
        <v>2780.0</v>
      </c>
      <c r="AG25" s="151">
        <v>4.08</v>
      </c>
      <c r="AH25" s="161">
        <v>1176.0</v>
      </c>
      <c r="AI25" s="155">
        <f t="shared" si="19"/>
        <v>65</v>
      </c>
      <c r="AJ25" s="15">
        <f t="shared" si="51"/>
        <v>265.2</v>
      </c>
      <c r="AK25" s="151">
        <v>2.06</v>
      </c>
      <c r="AL25" s="161">
        <v>608.0</v>
      </c>
      <c r="AM25" s="155">
        <f t="shared" si="21"/>
        <v>36</v>
      </c>
      <c r="AN25" s="15">
        <f t="shared" si="52"/>
        <v>74.16</v>
      </c>
      <c r="AO25" s="156">
        <f t="shared" si="22"/>
        <v>339.36</v>
      </c>
      <c r="AP25" s="154">
        <v>339.0</v>
      </c>
      <c r="AQ25" s="151">
        <v>4.08</v>
      </c>
      <c r="AR25" s="161">
        <v>1183.0</v>
      </c>
      <c r="AS25" s="152">
        <f t="shared" si="24"/>
        <v>7</v>
      </c>
      <c r="AT25" s="15">
        <f t="shared" si="25"/>
        <v>28.56</v>
      </c>
      <c r="AU25" s="151">
        <v>2.06</v>
      </c>
      <c r="AV25" s="161">
        <v>611.0</v>
      </c>
      <c r="AW25" s="152">
        <f t="shared" si="27"/>
        <v>3</v>
      </c>
      <c r="AX25" s="15">
        <f t="shared" si="28"/>
        <v>6.18</v>
      </c>
      <c r="AY25" s="156">
        <f t="shared" si="29"/>
        <v>34.74</v>
      </c>
      <c r="AZ25" s="154">
        <v>35.0</v>
      </c>
      <c r="BA25" s="151">
        <v>4.08</v>
      </c>
      <c r="BB25" s="161">
        <v>1204.0</v>
      </c>
      <c r="BC25" s="152">
        <f t="shared" si="31"/>
        <v>21</v>
      </c>
      <c r="BD25" s="15">
        <f t="shared" si="32"/>
        <v>85.68</v>
      </c>
      <c r="BE25" s="151">
        <v>2.06</v>
      </c>
      <c r="BF25" s="161">
        <v>622.0</v>
      </c>
      <c r="BG25" s="152">
        <f t="shared" si="34"/>
        <v>11</v>
      </c>
      <c r="BH25" s="15">
        <f t="shared" si="35"/>
        <v>22.66</v>
      </c>
      <c r="BI25" s="156">
        <f t="shared" si="36"/>
        <v>108.34</v>
      </c>
      <c r="BJ25" s="154">
        <v>108.0</v>
      </c>
      <c r="BK25" s="151">
        <v>4.28</v>
      </c>
      <c r="BL25" s="161">
        <v>1214.0</v>
      </c>
      <c r="BM25" s="152">
        <f t="shared" si="38"/>
        <v>10</v>
      </c>
      <c r="BN25" s="15">
        <f t="shared" si="39"/>
        <v>42.8</v>
      </c>
      <c r="BO25" s="151">
        <v>2.23</v>
      </c>
      <c r="BP25" s="161">
        <v>629.0</v>
      </c>
      <c r="BQ25" s="152">
        <f t="shared" si="41"/>
        <v>7</v>
      </c>
      <c r="BR25" s="15">
        <f t="shared" si="42"/>
        <v>15.61</v>
      </c>
      <c r="BS25" s="156">
        <f t="shared" si="43"/>
        <v>58.41</v>
      </c>
      <c r="BT25" s="156"/>
      <c r="BU25" s="151">
        <v>4.28</v>
      </c>
      <c r="BV25" s="161">
        <v>1289.0</v>
      </c>
      <c r="BW25" s="152">
        <f t="shared" si="45"/>
        <v>75</v>
      </c>
      <c r="BX25" s="15">
        <f t="shared" si="46"/>
        <v>321</v>
      </c>
      <c r="BY25" s="151">
        <v>2.23</v>
      </c>
      <c r="BZ25" s="161">
        <v>652.0</v>
      </c>
      <c r="CA25" s="152">
        <f t="shared" si="48"/>
        <v>23</v>
      </c>
      <c r="CB25" s="15">
        <f t="shared" si="49"/>
        <v>51.29</v>
      </c>
      <c r="CC25" s="156">
        <f t="shared" si="50"/>
        <v>372.29</v>
      </c>
      <c r="CD25" s="156"/>
      <c r="CE25" s="151"/>
      <c r="CF25" s="152"/>
      <c r="CG25" s="155"/>
      <c r="CH25" s="15"/>
      <c r="CI25" s="151"/>
      <c r="CJ25" s="152"/>
      <c r="CK25" s="155"/>
      <c r="CL25" s="15"/>
      <c r="CM25" s="156"/>
      <c r="CN25" s="156"/>
      <c r="CO25" s="151"/>
      <c r="CP25" s="152"/>
      <c r="CQ25" s="152"/>
      <c r="CR25" s="15"/>
      <c r="CS25" s="151"/>
      <c r="CT25" s="152"/>
      <c r="CU25" s="152"/>
      <c r="CV25" s="15"/>
      <c r="CW25" s="156"/>
      <c r="CX25" s="156"/>
      <c r="CY25" s="151"/>
      <c r="CZ25" s="152"/>
      <c r="DA25" s="152"/>
      <c r="DB25" s="157"/>
      <c r="DC25" s="151"/>
      <c r="DD25" s="152"/>
      <c r="DE25" s="152"/>
      <c r="DF25" s="157"/>
      <c r="DG25" s="158"/>
      <c r="DH25" s="156"/>
      <c r="DI25" s="151"/>
      <c r="DJ25" s="152"/>
      <c r="DK25" s="152"/>
      <c r="DL25" s="157"/>
      <c r="DM25" s="151"/>
      <c r="DN25" s="152"/>
      <c r="DO25" s="152"/>
      <c r="DP25" s="157"/>
      <c r="DQ25" s="156"/>
      <c r="DR25" s="156"/>
      <c r="DS25" s="159"/>
      <c r="DT25" s="160"/>
      <c r="DU25" s="34"/>
    </row>
    <row r="26" ht="12.75" customHeight="1">
      <c r="A26" s="48" t="s">
        <v>122</v>
      </c>
      <c r="B26" s="36" t="s">
        <v>123</v>
      </c>
      <c r="C26" s="151">
        <v>4.08</v>
      </c>
      <c r="D26" s="152">
        <v>375.0</v>
      </c>
      <c r="E26" s="152">
        <f>D26-375</f>
        <v>0</v>
      </c>
      <c r="F26" s="15">
        <f t="shared" si="1"/>
        <v>0</v>
      </c>
      <c r="G26" s="151">
        <v>2.06</v>
      </c>
      <c r="H26" s="152">
        <v>149.0</v>
      </c>
      <c r="I26" s="152">
        <f>H26-149</f>
        <v>0</v>
      </c>
      <c r="J26" s="15">
        <f t="shared" si="2"/>
        <v>0</v>
      </c>
      <c r="K26" s="153">
        <f t="shared" si="3"/>
        <v>0</v>
      </c>
      <c r="L26" s="154">
        <v>0.0</v>
      </c>
      <c r="M26" s="151">
        <v>4.08</v>
      </c>
      <c r="N26" s="152">
        <f>D26</f>
        <v>375</v>
      </c>
      <c r="O26" s="155">
        <f t="shared" si="5"/>
        <v>0</v>
      </c>
      <c r="P26" s="15">
        <f t="shared" si="6"/>
        <v>0</v>
      </c>
      <c r="Q26" s="151">
        <v>2.06</v>
      </c>
      <c r="R26" s="152">
        <f>H26</f>
        <v>149</v>
      </c>
      <c r="S26" s="155">
        <f t="shared" si="8"/>
        <v>0</v>
      </c>
      <c r="T26" s="15">
        <f t="shared" si="9"/>
        <v>0</v>
      </c>
      <c r="U26" s="153">
        <f t="shared" si="10"/>
        <v>0</v>
      </c>
      <c r="V26" s="156"/>
      <c r="W26" s="151">
        <v>4.08</v>
      </c>
      <c r="X26" s="152">
        <f>N26</f>
        <v>375</v>
      </c>
      <c r="Y26" s="152">
        <f t="shared" si="12"/>
        <v>0</v>
      </c>
      <c r="Z26" s="15">
        <f t="shared" si="13"/>
        <v>0</v>
      </c>
      <c r="AA26" s="151">
        <v>2.06</v>
      </c>
      <c r="AB26" s="152">
        <f>R26</f>
        <v>149</v>
      </c>
      <c r="AC26" s="152">
        <f t="shared" si="15"/>
        <v>0</v>
      </c>
      <c r="AD26" s="15">
        <f t="shared" si="16"/>
        <v>0</v>
      </c>
      <c r="AE26" s="153">
        <f t="shared" si="17"/>
        <v>0</v>
      </c>
      <c r="AF26" s="154">
        <v>0.0</v>
      </c>
      <c r="AG26" s="151">
        <v>4.08</v>
      </c>
      <c r="AH26" s="152">
        <f>X26</f>
        <v>375</v>
      </c>
      <c r="AI26" s="155">
        <f t="shared" si="19"/>
        <v>0</v>
      </c>
      <c r="AJ26" s="15">
        <f t="shared" si="51"/>
        <v>0</v>
      </c>
      <c r="AK26" s="151">
        <v>2.06</v>
      </c>
      <c r="AL26" s="152">
        <f>AB26</f>
        <v>149</v>
      </c>
      <c r="AM26" s="155">
        <f t="shared" si="21"/>
        <v>0</v>
      </c>
      <c r="AN26" s="15">
        <f t="shared" si="52"/>
        <v>0</v>
      </c>
      <c r="AO26" s="156">
        <f t="shared" si="22"/>
        <v>0</v>
      </c>
      <c r="AP26" s="156"/>
      <c r="AQ26" s="151">
        <v>4.08</v>
      </c>
      <c r="AR26" s="152">
        <f>AH26</f>
        <v>375</v>
      </c>
      <c r="AS26" s="152">
        <f t="shared" si="24"/>
        <v>0</v>
      </c>
      <c r="AT26" s="15">
        <f t="shared" si="25"/>
        <v>0</v>
      </c>
      <c r="AU26" s="151">
        <v>2.06</v>
      </c>
      <c r="AV26" s="152">
        <f>AL26</f>
        <v>149</v>
      </c>
      <c r="AW26" s="152">
        <f t="shared" si="27"/>
        <v>0</v>
      </c>
      <c r="AX26" s="15">
        <f t="shared" si="28"/>
        <v>0</v>
      </c>
      <c r="AY26" s="156">
        <f t="shared" si="29"/>
        <v>0</v>
      </c>
      <c r="AZ26" s="154">
        <v>0.0</v>
      </c>
      <c r="BA26" s="151">
        <v>4.08</v>
      </c>
      <c r="BB26" s="152">
        <f>AR26</f>
        <v>375</v>
      </c>
      <c r="BC26" s="152">
        <f t="shared" si="31"/>
        <v>0</v>
      </c>
      <c r="BD26" s="15">
        <f t="shared" si="32"/>
        <v>0</v>
      </c>
      <c r="BE26" s="151">
        <v>2.06</v>
      </c>
      <c r="BF26" s="152">
        <f>AV26</f>
        <v>149</v>
      </c>
      <c r="BG26" s="152">
        <f t="shared" si="34"/>
        <v>0</v>
      </c>
      <c r="BH26" s="15">
        <f t="shared" si="35"/>
        <v>0</v>
      </c>
      <c r="BI26" s="156">
        <f t="shared" si="36"/>
        <v>0</v>
      </c>
      <c r="BJ26" s="156"/>
      <c r="BK26" s="151">
        <v>4.28</v>
      </c>
      <c r="BL26" s="152">
        <f>BB26</f>
        <v>375</v>
      </c>
      <c r="BM26" s="152">
        <f t="shared" si="38"/>
        <v>0</v>
      </c>
      <c r="BN26" s="15">
        <f t="shared" si="39"/>
        <v>0</v>
      </c>
      <c r="BO26" s="151">
        <v>2.23</v>
      </c>
      <c r="BP26" s="152">
        <f>BF26</f>
        <v>149</v>
      </c>
      <c r="BQ26" s="152">
        <f t="shared" si="41"/>
        <v>0</v>
      </c>
      <c r="BR26" s="15">
        <f t="shared" si="42"/>
        <v>0</v>
      </c>
      <c r="BS26" s="156">
        <f t="shared" si="43"/>
        <v>0</v>
      </c>
      <c r="BT26" s="156"/>
      <c r="BU26" s="151">
        <v>4.28</v>
      </c>
      <c r="BV26" s="152">
        <f>BL26</f>
        <v>375</v>
      </c>
      <c r="BW26" s="152">
        <f t="shared" si="45"/>
        <v>0</v>
      </c>
      <c r="BX26" s="15">
        <f t="shared" si="46"/>
        <v>0</v>
      </c>
      <c r="BY26" s="151">
        <v>2.23</v>
      </c>
      <c r="BZ26" s="152">
        <f>BP26</f>
        <v>149</v>
      </c>
      <c r="CA26" s="152">
        <f t="shared" si="48"/>
        <v>0</v>
      </c>
      <c r="CB26" s="15">
        <f t="shared" si="49"/>
        <v>0</v>
      </c>
      <c r="CC26" s="156">
        <f t="shared" si="50"/>
        <v>0</v>
      </c>
      <c r="CD26" s="156"/>
      <c r="CE26" s="151"/>
      <c r="CF26" s="152"/>
      <c r="CG26" s="155"/>
      <c r="CH26" s="15"/>
      <c r="CI26" s="151"/>
      <c r="CJ26" s="152"/>
      <c r="CK26" s="155"/>
      <c r="CL26" s="15"/>
      <c r="CM26" s="156"/>
      <c r="CN26" s="156"/>
      <c r="CO26" s="151"/>
      <c r="CP26" s="152"/>
      <c r="CQ26" s="152"/>
      <c r="CR26" s="15"/>
      <c r="CS26" s="151"/>
      <c r="CT26" s="152"/>
      <c r="CU26" s="152"/>
      <c r="CV26" s="15"/>
      <c r="CW26" s="156"/>
      <c r="CX26" s="156"/>
      <c r="CY26" s="151"/>
      <c r="CZ26" s="152"/>
      <c r="DA26" s="152"/>
      <c r="DB26" s="157"/>
      <c r="DC26" s="151"/>
      <c r="DD26" s="152"/>
      <c r="DE26" s="152"/>
      <c r="DF26" s="157"/>
      <c r="DG26" s="158"/>
      <c r="DH26" s="156"/>
      <c r="DI26" s="151"/>
      <c r="DJ26" s="152"/>
      <c r="DK26" s="152"/>
      <c r="DL26" s="157"/>
      <c r="DM26" s="151"/>
      <c r="DN26" s="152"/>
      <c r="DO26" s="152"/>
      <c r="DP26" s="157"/>
      <c r="DQ26" s="156"/>
      <c r="DR26" s="156"/>
      <c r="DS26" s="159"/>
      <c r="DT26" s="160"/>
      <c r="DU26" s="34"/>
    </row>
    <row r="27" ht="12.75" customHeight="1">
      <c r="A27" s="48" t="s">
        <v>124</v>
      </c>
      <c r="B27" s="36" t="s">
        <v>125</v>
      </c>
      <c r="C27" s="151">
        <v>4.08</v>
      </c>
      <c r="D27" s="161">
        <v>47701.0</v>
      </c>
      <c r="E27" s="152">
        <f>D27-46483</f>
        <v>1218</v>
      </c>
      <c r="F27" s="15">
        <f t="shared" si="1"/>
        <v>4969.44</v>
      </c>
      <c r="G27" s="151">
        <v>2.06</v>
      </c>
      <c r="H27" s="161">
        <v>25387.0</v>
      </c>
      <c r="I27" s="152">
        <f>H27-24487</f>
        <v>900</v>
      </c>
      <c r="J27" s="15">
        <f t="shared" si="2"/>
        <v>1854</v>
      </c>
      <c r="K27" s="153">
        <f t="shared" si="3"/>
        <v>6823.44</v>
      </c>
      <c r="L27" s="193">
        <v>6823.0</v>
      </c>
      <c r="M27" s="151">
        <v>4.08</v>
      </c>
      <c r="N27" s="161">
        <v>49545.0</v>
      </c>
      <c r="O27" s="155">
        <f t="shared" si="5"/>
        <v>1844</v>
      </c>
      <c r="P27" s="15">
        <f t="shared" si="6"/>
        <v>7523.52</v>
      </c>
      <c r="Q27" s="151">
        <v>2.06</v>
      </c>
      <c r="R27" s="161">
        <v>26346.0</v>
      </c>
      <c r="S27" s="155">
        <f t="shared" si="8"/>
        <v>959</v>
      </c>
      <c r="T27" s="15">
        <f t="shared" si="9"/>
        <v>1975.54</v>
      </c>
      <c r="U27" s="153">
        <f t="shared" si="10"/>
        <v>9499.06</v>
      </c>
      <c r="V27" s="154">
        <v>9499.0</v>
      </c>
      <c r="W27" s="151">
        <v>4.08</v>
      </c>
      <c r="X27" s="161">
        <v>51300.0</v>
      </c>
      <c r="Y27" s="152">
        <f t="shared" si="12"/>
        <v>1755</v>
      </c>
      <c r="Z27" s="15">
        <f t="shared" si="13"/>
        <v>7160.4</v>
      </c>
      <c r="AA27" s="151">
        <v>2.06</v>
      </c>
      <c r="AB27" s="161">
        <v>27250.0</v>
      </c>
      <c r="AC27" s="152">
        <f t="shared" si="15"/>
        <v>904</v>
      </c>
      <c r="AD27" s="15">
        <f t="shared" si="16"/>
        <v>1862.24</v>
      </c>
      <c r="AE27" s="153">
        <f t="shared" si="17"/>
        <v>9022.64</v>
      </c>
      <c r="AF27" s="154">
        <v>9023.0</v>
      </c>
      <c r="AG27" s="151">
        <v>4.08</v>
      </c>
      <c r="AH27" s="161">
        <v>51999.0</v>
      </c>
      <c r="AI27" s="155">
        <f t="shared" si="19"/>
        <v>699</v>
      </c>
      <c r="AJ27" s="15">
        <f t="shared" si="51"/>
        <v>2851.92</v>
      </c>
      <c r="AK27" s="151">
        <v>2.06</v>
      </c>
      <c r="AL27" s="161">
        <v>27570.0</v>
      </c>
      <c r="AM27" s="155">
        <f t="shared" si="21"/>
        <v>320</v>
      </c>
      <c r="AN27" s="15">
        <f t="shared" si="52"/>
        <v>659.2</v>
      </c>
      <c r="AO27" s="156">
        <f t="shared" si="22"/>
        <v>3511.12</v>
      </c>
      <c r="AP27" s="167">
        <v>961.0</v>
      </c>
      <c r="AQ27" s="151">
        <v>4.08</v>
      </c>
      <c r="AR27" s="161">
        <v>52471.0</v>
      </c>
      <c r="AS27" s="152">
        <f t="shared" si="24"/>
        <v>472</v>
      </c>
      <c r="AT27" s="15">
        <f t="shared" si="25"/>
        <v>1925.76</v>
      </c>
      <c r="AU27" s="151">
        <v>2.06</v>
      </c>
      <c r="AV27" s="161">
        <v>27964.0</v>
      </c>
      <c r="AW27" s="152">
        <f t="shared" si="27"/>
        <v>394</v>
      </c>
      <c r="AX27" s="15">
        <f t="shared" si="28"/>
        <v>811.64</v>
      </c>
      <c r="AY27" s="156">
        <f t="shared" si="29"/>
        <v>2737.4</v>
      </c>
      <c r="AZ27" s="156"/>
      <c r="BA27" s="151">
        <v>4.08</v>
      </c>
      <c r="BB27" s="161">
        <v>52796.0</v>
      </c>
      <c r="BC27" s="152">
        <f t="shared" si="31"/>
        <v>325</v>
      </c>
      <c r="BD27" s="15">
        <f t="shared" si="32"/>
        <v>1326</v>
      </c>
      <c r="BE27" s="151">
        <v>2.06</v>
      </c>
      <c r="BF27" s="161">
        <v>28216.0</v>
      </c>
      <c r="BG27" s="152">
        <f t="shared" si="34"/>
        <v>252</v>
      </c>
      <c r="BH27" s="15">
        <f t="shared" si="35"/>
        <v>519.12</v>
      </c>
      <c r="BI27" s="156">
        <f t="shared" si="36"/>
        <v>1845.12</v>
      </c>
      <c r="BJ27" s="156"/>
      <c r="BK27" s="151">
        <v>4.28</v>
      </c>
      <c r="BL27" s="161">
        <v>52999.0</v>
      </c>
      <c r="BM27" s="152">
        <f t="shared" si="38"/>
        <v>203</v>
      </c>
      <c r="BN27" s="15">
        <f t="shared" si="39"/>
        <v>868.84</v>
      </c>
      <c r="BO27" s="151">
        <v>2.23</v>
      </c>
      <c r="BP27" s="161">
        <v>28320.0</v>
      </c>
      <c r="BQ27" s="152">
        <f t="shared" si="41"/>
        <v>104</v>
      </c>
      <c r="BR27" s="15">
        <f t="shared" si="42"/>
        <v>231.92</v>
      </c>
      <c r="BS27" s="156">
        <f t="shared" si="43"/>
        <v>1100.76</v>
      </c>
      <c r="BT27" s="156"/>
      <c r="BU27" s="151">
        <v>4.28</v>
      </c>
      <c r="BV27" s="161">
        <v>53218.0</v>
      </c>
      <c r="BW27" s="152">
        <f t="shared" si="45"/>
        <v>219</v>
      </c>
      <c r="BX27" s="15">
        <f t="shared" si="46"/>
        <v>937.32</v>
      </c>
      <c r="BY27" s="151">
        <v>2.23</v>
      </c>
      <c r="BZ27" s="161">
        <v>28540.0</v>
      </c>
      <c r="CA27" s="152">
        <f t="shared" si="48"/>
        <v>220</v>
      </c>
      <c r="CB27" s="15">
        <f t="shared" si="49"/>
        <v>490.6</v>
      </c>
      <c r="CC27" s="156">
        <f t="shared" si="50"/>
        <v>1427.92</v>
      </c>
      <c r="CD27" s="44"/>
      <c r="CE27" s="151"/>
      <c r="CF27" s="161"/>
      <c r="CG27" s="155"/>
      <c r="CH27" s="15"/>
      <c r="CI27" s="151"/>
      <c r="CJ27" s="161"/>
      <c r="CK27" s="155"/>
      <c r="CL27" s="15"/>
      <c r="CM27" s="156"/>
      <c r="CN27" s="156"/>
      <c r="CO27" s="151"/>
      <c r="CP27" s="161"/>
      <c r="CQ27" s="152"/>
      <c r="CR27" s="15"/>
      <c r="CS27" s="151"/>
      <c r="CT27" s="161"/>
      <c r="CU27" s="152"/>
      <c r="CV27" s="15"/>
      <c r="CW27" s="156"/>
      <c r="CX27" s="156"/>
      <c r="CY27" s="151"/>
      <c r="CZ27" s="161"/>
      <c r="DA27" s="152"/>
      <c r="DB27" s="157"/>
      <c r="DC27" s="151"/>
      <c r="DD27" s="161"/>
      <c r="DE27" s="152"/>
      <c r="DF27" s="157"/>
      <c r="DG27" s="158"/>
      <c r="DH27" s="156"/>
      <c r="DI27" s="151"/>
      <c r="DJ27" s="152"/>
      <c r="DK27" s="152"/>
      <c r="DL27" s="157"/>
      <c r="DM27" s="151"/>
      <c r="DN27" s="152"/>
      <c r="DO27" s="152"/>
      <c r="DP27" s="157"/>
      <c r="DQ27" s="156"/>
      <c r="DR27" s="156"/>
      <c r="DS27" s="159"/>
      <c r="DT27" s="160"/>
      <c r="DU27" s="34"/>
    </row>
    <row r="28" ht="12.75" customHeight="1">
      <c r="A28" s="48" t="s">
        <v>126</v>
      </c>
      <c r="B28" s="36" t="s">
        <v>127</v>
      </c>
      <c r="C28" s="151">
        <v>4.08</v>
      </c>
      <c r="D28" s="161">
        <v>38313.0</v>
      </c>
      <c r="E28" s="152">
        <f>D28-35855</f>
        <v>2458</v>
      </c>
      <c r="F28" s="15">
        <f t="shared" si="1"/>
        <v>10028.64</v>
      </c>
      <c r="G28" s="151">
        <v>2.06</v>
      </c>
      <c r="H28" s="161">
        <v>19441.0</v>
      </c>
      <c r="I28" s="152">
        <f>H28-18184</f>
        <v>1257</v>
      </c>
      <c r="J28" s="15">
        <f t="shared" si="2"/>
        <v>2589.42</v>
      </c>
      <c r="K28" s="153">
        <f t="shared" si="3"/>
        <v>12618.06</v>
      </c>
      <c r="L28" s="154">
        <v>12618.0</v>
      </c>
      <c r="M28" s="151">
        <v>4.08</v>
      </c>
      <c r="N28" s="161">
        <v>40315.0</v>
      </c>
      <c r="O28" s="155">
        <f t="shared" si="5"/>
        <v>2002</v>
      </c>
      <c r="P28" s="15">
        <f t="shared" si="6"/>
        <v>8168.16</v>
      </c>
      <c r="Q28" s="151">
        <v>2.06</v>
      </c>
      <c r="R28" s="161">
        <v>20458.0</v>
      </c>
      <c r="S28" s="155">
        <f t="shared" si="8"/>
        <v>1017</v>
      </c>
      <c r="T28" s="15">
        <f t="shared" si="9"/>
        <v>2095.02</v>
      </c>
      <c r="U28" s="153">
        <f t="shared" si="10"/>
        <v>10263.18</v>
      </c>
      <c r="V28" s="44">
        <v>10263.0</v>
      </c>
      <c r="W28" s="151">
        <v>4.08</v>
      </c>
      <c r="X28" s="161">
        <v>41364.0</v>
      </c>
      <c r="Y28" s="152">
        <f t="shared" si="12"/>
        <v>1049</v>
      </c>
      <c r="Z28" s="15">
        <f t="shared" si="13"/>
        <v>4279.92</v>
      </c>
      <c r="AA28" s="151">
        <v>2.06</v>
      </c>
      <c r="AB28" s="161">
        <v>20995.0</v>
      </c>
      <c r="AC28" s="152">
        <f t="shared" si="15"/>
        <v>537</v>
      </c>
      <c r="AD28" s="15">
        <f t="shared" si="16"/>
        <v>1106.22</v>
      </c>
      <c r="AE28" s="153">
        <f t="shared" si="17"/>
        <v>5386.14</v>
      </c>
      <c r="AF28" s="154">
        <v>5386.0</v>
      </c>
      <c r="AG28" s="151">
        <v>4.08</v>
      </c>
      <c r="AH28" s="161">
        <v>41385.0</v>
      </c>
      <c r="AI28" s="155">
        <f t="shared" si="19"/>
        <v>21</v>
      </c>
      <c r="AJ28" s="15">
        <f t="shared" si="51"/>
        <v>85.68</v>
      </c>
      <c r="AK28" s="151">
        <v>2.06</v>
      </c>
      <c r="AL28" s="161">
        <v>21004.0</v>
      </c>
      <c r="AM28" s="155">
        <f t="shared" si="21"/>
        <v>9</v>
      </c>
      <c r="AN28" s="15">
        <f t="shared" si="52"/>
        <v>18.54</v>
      </c>
      <c r="AO28" s="156">
        <f t="shared" si="22"/>
        <v>104.22</v>
      </c>
      <c r="AP28" s="154">
        <v>104.0</v>
      </c>
      <c r="AQ28" s="151">
        <v>4.08</v>
      </c>
      <c r="AR28" s="161">
        <v>41410.0</v>
      </c>
      <c r="AS28" s="152">
        <f t="shared" si="24"/>
        <v>25</v>
      </c>
      <c r="AT28" s="15">
        <f t="shared" si="25"/>
        <v>102</v>
      </c>
      <c r="AU28" s="151">
        <v>2.06</v>
      </c>
      <c r="AV28" s="161">
        <v>21015.0</v>
      </c>
      <c r="AW28" s="152">
        <f t="shared" si="27"/>
        <v>11</v>
      </c>
      <c r="AX28" s="15">
        <f t="shared" si="28"/>
        <v>22.66</v>
      </c>
      <c r="AY28" s="156">
        <f t="shared" si="29"/>
        <v>124.66</v>
      </c>
      <c r="AZ28" s="154">
        <v>125.0</v>
      </c>
      <c r="BA28" s="151">
        <v>4.08</v>
      </c>
      <c r="BB28" s="161">
        <v>41429.0</v>
      </c>
      <c r="BC28" s="152">
        <f t="shared" si="31"/>
        <v>19</v>
      </c>
      <c r="BD28" s="15">
        <f t="shared" si="32"/>
        <v>77.52</v>
      </c>
      <c r="BE28" s="151">
        <v>2.06</v>
      </c>
      <c r="BF28" s="161">
        <v>21021.0</v>
      </c>
      <c r="BG28" s="152">
        <f t="shared" si="34"/>
        <v>6</v>
      </c>
      <c r="BH28" s="15">
        <f t="shared" si="35"/>
        <v>12.36</v>
      </c>
      <c r="BI28" s="156">
        <f t="shared" si="36"/>
        <v>89.88</v>
      </c>
      <c r="BJ28" s="154">
        <v>90.0</v>
      </c>
      <c r="BK28" s="151">
        <v>4.28</v>
      </c>
      <c r="BL28" s="161">
        <v>41441.0</v>
      </c>
      <c r="BM28" s="152">
        <f t="shared" si="38"/>
        <v>12</v>
      </c>
      <c r="BN28" s="15">
        <f t="shared" si="39"/>
        <v>51.36</v>
      </c>
      <c r="BO28" s="151">
        <v>2.23</v>
      </c>
      <c r="BP28" s="161">
        <v>21023.0</v>
      </c>
      <c r="BQ28" s="152">
        <f t="shared" si="41"/>
        <v>2</v>
      </c>
      <c r="BR28" s="15">
        <f t="shared" si="42"/>
        <v>4.46</v>
      </c>
      <c r="BS28" s="156">
        <f t="shared" si="43"/>
        <v>55.82</v>
      </c>
      <c r="BT28" s="154">
        <v>56.0</v>
      </c>
      <c r="BU28" s="151">
        <v>4.28</v>
      </c>
      <c r="BV28" s="161">
        <v>41485.0</v>
      </c>
      <c r="BW28" s="152">
        <f t="shared" si="45"/>
        <v>44</v>
      </c>
      <c r="BX28" s="15">
        <f t="shared" si="46"/>
        <v>188.32</v>
      </c>
      <c r="BY28" s="151">
        <v>2.23</v>
      </c>
      <c r="BZ28" s="161">
        <v>21036.0</v>
      </c>
      <c r="CA28" s="152">
        <f t="shared" si="48"/>
        <v>13</v>
      </c>
      <c r="CB28" s="15">
        <f t="shared" si="49"/>
        <v>28.99</v>
      </c>
      <c r="CC28" s="156">
        <f t="shared" si="50"/>
        <v>217.31</v>
      </c>
      <c r="CD28" s="154">
        <v>217.0</v>
      </c>
      <c r="CE28" s="151"/>
      <c r="CF28" s="161"/>
      <c r="CG28" s="155"/>
      <c r="CH28" s="15"/>
      <c r="CI28" s="151"/>
      <c r="CJ28" s="161"/>
      <c r="CK28" s="155"/>
      <c r="CL28" s="15"/>
      <c r="CM28" s="156"/>
      <c r="CN28" s="154"/>
      <c r="CO28" s="151"/>
      <c r="CP28" s="161"/>
      <c r="CQ28" s="152"/>
      <c r="CR28" s="15"/>
      <c r="CS28" s="151"/>
      <c r="CT28" s="161"/>
      <c r="CU28" s="152"/>
      <c r="CV28" s="15"/>
      <c r="CW28" s="156"/>
      <c r="CX28" s="154"/>
      <c r="CY28" s="151"/>
      <c r="CZ28" s="161"/>
      <c r="DA28" s="152"/>
      <c r="DB28" s="157"/>
      <c r="DC28" s="151"/>
      <c r="DD28" s="161"/>
      <c r="DE28" s="152"/>
      <c r="DF28" s="157"/>
      <c r="DG28" s="158"/>
      <c r="DH28" s="156"/>
      <c r="DI28" s="151"/>
      <c r="DJ28" s="152"/>
      <c r="DK28" s="152"/>
      <c r="DL28" s="157"/>
      <c r="DM28" s="151"/>
      <c r="DN28" s="152"/>
      <c r="DO28" s="152"/>
      <c r="DP28" s="157"/>
      <c r="DQ28" s="156"/>
      <c r="DR28" s="156"/>
      <c r="DS28" s="159"/>
      <c r="DT28" s="160"/>
      <c r="DU28" s="34"/>
    </row>
    <row r="29" ht="12.75" customHeight="1">
      <c r="A29" s="48" t="s">
        <v>128</v>
      </c>
      <c r="B29" s="36" t="s">
        <v>129</v>
      </c>
      <c r="C29" s="151">
        <v>4.08</v>
      </c>
      <c r="D29" s="161">
        <v>11420.0</v>
      </c>
      <c r="E29" s="152">
        <f>D29-11413</f>
        <v>7</v>
      </c>
      <c r="F29" s="15">
        <f t="shared" si="1"/>
        <v>28.56</v>
      </c>
      <c r="G29" s="151">
        <v>2.06</v>
      </c>
      <c r="H29" s="161">
        <v>5860.0</v>
      </c>
      <c r="I29" s="152">
        <f>H29-5857</f>
        <v>3</v>
      </c>
      <c r="J29" s="15">
        <f t="shared" si="2"/>
        <v>6.18</v>
      </c>
      <c r="K29" s="153">
        <f t="shared" si="3"/>
        <v>34.74</v>
      </c>
      <c r="L29" s="154">
        <v>35.0</v>
      </c>
      <c r="M29" s="151">
        <v>4.08</v>
      </c>
      <c r="N29" s="161">
        <v>11425.0</v>
      </c>
      <c r="O29" s="155">
        <f t="shared" si="5"/>
        <v>5</v>
      </c>
      <c r="P29" s="15">
        <f t="shared" si="6"/>
        <v>20.4</v>
      </c>
      <c r="Q29" s="151">
        <v>2.06</v>
      </c>
      <c r="R29" s="161">
        <v>5863.0</v>
      </c>
      <c r="S29" s="155">
        <f t="shared" si="8"/>
        <v>3</v>
      </c>
      <c r="T29" s="15">
        <f t="shared" si="9"/>
        <v>6.18</v>
      </c>
      <c r="U29" s="153">
        <f t="shared" si="10"/>
        <v>26.58</v>
      </c>
      <c r="V29" s="154">
        <v>27.0</v>
      </c>
      <c r="W29" s="151">
        <v>4.08</v>
      </c>
      <c r="X29" s="161">
        <v>11432.0</v>
      </c>
      <c r="Y29" s="152">
        <f t="shared" si="12"/>
        <v>7</v>
      </c>
      <c r="Z29" s="15">
        <f t="shared" si="13"/>
        <v>28.56</v>
      </c>
      <c r="AA29" s="151">
        <v>2.06</v>
      </c>
      <c r="AB29" s="161">
        <v>5866.0</v>
      </c>
      <c r="AC29" s="152">
        <f t="shared" si="15"/>
        <v>3</v>
      </c>
      <c r="AD29" s="15">
        <f t="shared" si="16"/>
        <v>6.18</v>
      </c>
      <c r="AE29" s="153">
        <f t="shared" si="17"/>
        <v>34.74</v>
      </c>
      <c r="AF29" s="154">
        <v>35.0</v>
      </c>
      <c r="AG29" s="151">
        <v>4.08</v>
      </c>
      <c r="AH29" s="161">
        <v>11492.0</v>
      </c>
      <c r="AI29" s="155">
        <f t="shared" si="19"/>
        <v>60</v>
      </c>
      <c r="AJ29" s="15">
        <f t="shared" si="51"/>
        <v>244.8</v>
      </c>
      <c r="AK29" s="151">
        <v>2.06</v>
      </c>
      <c r="AL29" s="161">
        <v>5870.0</v>
      </c>
      <c r="AM29" s="155">
        <f t="shared" si="21"/>
        <v>4</v>
      </c>
      <c r="AN29" s="15">
        <f t="shared" si="52"/>
        <v>8.24</v>
      </c>
      <c r="AO29" s="156">
        <f t="shared" si="22"/>
        <v>253.04</v>
      </c>
      <c r="AP29" s="154">
        <v>253.0</v>
      </c>
      <c r="AQ29" s="151">
        <v>4.08</v>
      </c>
      <c r="AR29" s="161">
        <v>11826.0</v>
      </c>
      <c r="AS29" s="152">
        <f t="shared" si="24"/>
        <v>334</v>
      </c>
      <c r="AT29" s="15">
        <f t="shared" si="25"/>
        <v>1362.72</v>
      </c>
      <c r="AU29" s="151">
        <v>2.06</v>
      </c>
      <c r="AV29" s="161">
        <v>6001.0</v>
      </c>
      <c r="AW29" s="152">
        <f t="shared" si="27"/>
        <v>131</v>
      </c>
      <c r="AX29" s="15">
        <f t="shared" si="28"/>
        <v>269.86</v>
      </c>
      <c r="AY29" s="156">
        <f t="shared" si="29"/>
        <v>1632.58</v>
      </c>
      <c r="AZ29" s="154">
        <v>1633.0</v>
      </c>
      <c r="BA29" s="151">
        <v>4.08</v>
      </c>
      <c r="BB29" s="161">
        <v>12189.0</v>
      </c>
      <c r="BC29" s="152">
        <f t="shared" si="31"/>
        <v>363</v>
      </c>
      <c r="BD29" s="15">
        <f t="shared" si="32"/>
        <v>1481.04</v>
      </c>
      <c r="BE29" s="151">
        <v>2.06</v>
      </c>
      <c r="BF29" s="161">
        <v>6078.0</v>
      </c>
      <c r="BG29" s="152">
        <f t="shared" si="34"/>
        <v>77</v>
      </c>
      <c r="BH29" s="15">
        <f t="shared" si="35"/>
        <v>158.62</v>
      </c>
      <c r="BI29" s="156">
        <f t="shared" si="36"/>
        <v>1639.66</v>
      </c>
      <c r="BJ29" s="154">
        <v>1640.0</v>
      </c>
      <c r="BK29" s="151">
        <v>4.28</v>
      </c>
      <c r="BL29" s="161">
        <v>12504.0</v>
      </c>
      <c r="BM29" s="152">
        <f t="shared" si="38"/>
        <v>315</v>
      </c>
      <c r="BN29" s="15">
        <f t="shared" si="39"/>
        <v>1348.2</v>
      </c>
      <c r="BO29" s="151">
        <v>2.23</v>
      </c>
      <c r="BP29" s="161">
        <v>6146.0</v>
      </c>
      <c r="BQ29" s="152">
        <f t="shared" si="41"/>
        <v>68</v>
      </c>
      <c r="BR29" s="15">
        <f t="shared" si="42"/>
        <v>151.64</v>
      </c>
      <c r="BS29" s="156">
        <f t="shared" si="43"/>
        <v>1499.84</v>
      </c>
      <c r="BT29" s="154">
        <v>1500.0</v>
      </c>
      <c r="BU29" s="151">
        <v>4.28</v>
      </c>
      <c r="BV29" s="161">
        <v>12740.0</v>
      </c>
      <c r="BW29" s="152">
        <f t="shared" si="45"/>
        <v>236</v>
      </c>
      <c r="BX29" s="15">
        <f t="shared" si="46"/>
        <v>1010.08</v>
      </c>
      <c r="BY29" s="151">
        <v>2.23</v>
      </c>
      <c r="BZ29" s="161">
        <v>6189.0</v>
      </c>
      <c r="CA29" s="152">
        <f t="shared" si="48"/>
        <v>43</v>
      </c>
      <c r="CB29" s="15">
        <f t="shared" si="49"/>
        <v>95.89</v>
      </c>
      <c r="CC29" s="156">
        <f t="shared" si="50"/>
        <v>1105.97</v>
      </c>
      <c r="CD29" s="154"/>
      <c r="CE29" s="151"/>
      <c r="CF29" s="161"/>
      <c r="CG29" s="155"/>
      <c r="CH29" s="15"/>
      <c r="CI29" s="151"/>
      <c r="CJ29" s="161"/>
      <c r="CK29" s="155"/>
      <c r="CL29" s="15"/>
      <c r="CM29" s="156"/>
      <c r="CN29" s="154"/>
      <c r="CO29" s="151"/>
      <c r="CP29" s="161"/>
      <c r="CQ29" s="152"/>
      <c r="CR29" s="15"/>
      <c r="CS29" s="151"/>
      <c r="CT29" s="161"/>
      <c r="CU29" s="152"/>
      <c r="CV29" s="15"/>
      <c r="CW29" s="156"/>
      <c r="CX29" s="156"/>
      <c r="CY29" s="151"/>
      <c r="CZ29" s="161"/>
      <c r="DA29" s="152"/>
      <c r="DB29" s="157"/>
      <c r="DC29" s="151"/>
      <c r="DD29" s="161"/>
      <c r="DE29" s="152"/>
      <c r="DF29" s="157"/>
      <c r="DG29" s="158"/>
      <c r="DH29" s="156"/>
      <c r="DI29" s="151"/>
      <c r="DJ29" s="152"/>
      <c r="DK29" s="152"/>
      <c r="DL29" s="157"/>
      <c r="DM29" s="151"/>
      <c r="DN29" s="152"/>
      <c r="DO29" s="152"/>
      <c r="DP29" s="157"/>
      <c r="DQ29" s="156"/>
      <c r="DR29" s="156"/>
      <c r="DS29" s="159"/>
      <c r="DT29" s="160"/>
      <c r="DU29" s="34"/>
    </row>
    <row r="30" ht="12.75" customHeight="1">
      <c r="A30" s="48" t="s">
        <v>227</v>
      </c>
      <c r="B30" s="36" t="s">
        <v>132</v>
      </c>
      <c r="C30" s="151">
        <v>4.08</v>
      </c>
      <c r="D30" s="161">
        <v>1025.0</v>
      </c>
      <c r="E30" s="152">
        <f>D30-400</f>
        <v>625</v>
      </c>
      <c r="F30" s="15">
        <f t="shared" si="1"/>
        <v>2550</v>
      </c>
      <c r="G30" s="151">
        <v>2.06</v>
      </c>
      <c r="H30" s="161">
        <v>402.0</v>
      </c>
      <c r="I30" s="152">
        <f>H30-194</f>
        <v>208</v>
      </c>
      <c r="J30" s="15">
        <f t="shared" si="2"/>
        <v>428.48</v>
      </c>
      <c r="K30" s="153">
        <f t="shared" si="3"/>
        <v>2978.48</v>
      </c>
      <c r="L30" s="154">
        <v>2978.0</v>
      </c>
      <c r="M30" s="151">
        <v>4.08</v>
      </c>
      <c r="N30" s="161">
        <v>1994.0</v>
      </c>
      <c r="O30" s="155">
        <f t="shared" si="5"/>
        <v>969</v>
      </c>
      <c r="P30" s="15">
        <f t="shared" si="6"/>
        <v>3953.52</v>
      </c>
      <c r="Q30" s="151">
        <v>2.06</v>
      </c>
      <c r="R30" s="161">
        <v>828.0</v>
      </c>
      <c r="S30" s="155">
        <f t="shared" si="8"/>
        <v>426</v>
      </c>
      <c r="T30" s="15">
        <f t="shared" si="9"/>
        <v>877.56</v>
      </c>
      <c r="U30" s="153">
        <f t="shared" si="10"/>
        <v>4831.08</v>
      </c>
      <c r="V30" s="154">
        <v>4831.0</v>
      </c>
      <c r="W30" s="151">
        <v>4.08</v>
      </c>
      <c r="X30" s="161">
        <v>2579.0</v>
      </c>
      <c r="Y30" s="152">
        <f t="shared" si="12"/>
        <v>585</v>
      </c>
      <c r="Z30" s="15">
        <f t="shared" si="13"/>
        <v>2386.8</v>
      </c>
      <c r="AA30" s="151">
        <v>2.06</v>
      </c>
      <c r="AB30" s="161">
        <v>1089.0</v>
      </c>
      <c r="AC30" s="152">
        <f t="shared" si="15"/>
        <v>261</v>
      </c>
      <c r="AD30" s="15">
        <f t="shared" si="16"/>
        <v>537.66</v>
      </c>
      <c r="AE30" s="153">
        <f t="shared" si="17"/>
        <v>2924.46</v>
      </c>
      <c r="AF30" s="154">
        <v>2924.0</v>
      </c>
      <c r="AG30" s="151">
        <v>4.08</v>
      </c>
      <c r="AH30" s="161">
        <v>3302.0</v>
      </c>
      <c r="AI30" s="155">
        <f t="shared" si="19"/>
        <v>723</v>
      </c>
      <c r="AJ30" s="15">
        <f t="shared" si="51"/>
        <v>2949.84</v>
      </c>
      <c r="AK30" s="151">
        <v>2.06</v>
      </c>
      <c r="AL30" s="161">
        <v>1344.0</v>
      </c>
      <c r="AM30" s="155">
        <f t="shared" si="21"/>
        <v>255</v>
      </c>
      <c r="AN30" s="15">
        <f t="shared" si="52"/>
        <v>525.3</v>
      </c>
      <c r="AO30" s="156">
        <f t="shared" si="22"/>
        <v>3475.14</v>
      </c>
      <c r="AP30" s="154">
        <v>3475.0</v>
      </c>
      <c r="AQ30" s="151">
        <v>4.08</v>
      </c>
      <c r="AR30" s="161">
        <v>3531.0</v>
      </c>
      <c r="AS30" s="152">
        <f t="shared" si="24"/>
        <v>229</v>
      </c>
      <c r="AT30" s="15">
        <f t="shared" si="25"/>
        <v>934.32</v>
      </c>
      <c r="AU30" s="151">
        <v>2.06</v>
      </c>
      <c r="AV30" s="161">
        <v>1421.0</v>
      </c>
      <c r="AW30" s="152">
        <f t="shared" si="27"/>
        <v>77</v>
      </c>
      <c r="AX30" s="15">
        <f t="shared" si="28"/>
        <v>158.62</v>
      </c>
      <c r="AY30" s="156">
        <f t="shared" si="29"/>
        <v>1092.94</v>
      </c>
      <c r="AZ30" s="154">
        <v>1093.0</v>
      </c>
      <c r="BA30" s="151">
        <v>4.08</v>
      </c>
      <c r="BB30" s="161">
        <v>3766.0</v>
      </c>
      <c r="BC30" s="152">
        <f t="shared" si="31"/>
        <v>235</v>
      </c>
      <c r="BD30" s="15">
        <f t="shared" si="32"/>
        <v>958.8</v>
      </c>
      <c r="BE30" s="151">
        <v>2.06</v>
      </c>
      <c r="BF30" s="161">
        <v>1463.0</v>
      </c>
      <c r="BG30" s="152">
        <f t="shared" si="34"/>
        <v>42</v>
      </c>
      <c r="BH30" s="15">
        <f t="shared" si="35"/>
        <v>86.52</v>
      </c>
      <c r="BI30" s="156">
        <f t="shared" si="36"/>
        <v>1045.32</v>
      </c>
      <c r="BJ30" s="154">
        <v>1045.0</v>
      </c>
      <c r="BK30" s="151">
        <v>4.28</v>
      </c>
      <c r="BL30" s="161">
        <v>3870.0</v>
      </c>
      <c r="BM30" s="152">
        <f t="shared" si="38"/>
        <v>104</v>
      </c>
      <c r="BN30" s="15">
        <f t="shared" si="39"/>
        <v>445.12</v>
      </c>
      <c r="BO30" s="151">
        <v>2.23</v>
      </c>
      <c r="BP30" s="161">
        <v>1487.0</v>
      </c>
      <c r="BQ30" s="152">
        <f t="shared" si="41"/>
        <v>24</v>
      </c>
      <c r="BR30" s="15">
        <f t="shared" si="42"/>
        <v>53.52</v>
      </c>
      <c r="BS30" s="156">
        <f t="shared" si="43"/>
        <v>498.64</v>
      </c>
      <c r="BT30" s="154">
        <v>499.0</v>
      </c>
      <c r="BU30" s="151">
        <v>4.28</v>
      </c>
      <c r="BV30" s="161">
        <v>3899.0</v>
      </c>
      <c r="BW30" s="152">
        <f t="shared" si="45"/>
        <v>29</v>
      </c>
      <c r="BX30" s="15">
        <f t="shared" si="46"/>
        <v>124.12</v>
      </c>
      <c r="BY30" s="151">
        <v>2.23</v>
      </c>
      <c r="BZ30" s="161">
        <v>1499.0</v>
      </c>
      <c r="CA30" s="152">
        <f t="shared" si="48"/>
        <v>12</v>
      </c>
      <c r="CB30" s="15">
        <f t="shared" si="49"/>
        <v>26.76</v>
      </c>
      <c r="CC30" s="156">
        <f t="shared" si="50"/>
        <v>150.88</v>
      </c>
      <c r="CD30" s="156"/>
      <c r="CE30" s="151"/>
      <c r="CF30" s="161"/>
      <c r="CG30" s="155"/>
      <c r="CH30" s="15"/>
      <c r="CI30" s="151"/>
      <c r="CJ30" s="161"/>
      <c r="CK30" s="155"/>
      <c r="CL30" s="15"/>
      <c r="CM30" s="156"/>
      <c r="CN30" s="154"/>
      <c r="CO30" s="151"/>
      <c r="CP30" s="152"/>
      <c r="CQ30" s="152"/>
      <c r="CR30" s="15"/>
      <c r="CS30" s="151"/>
      <c r="CT30" s="152"/>
      <c r="CU30" s="152"/>
      <c r="CV30" s="15"/>
      <c r="CW30" s="156"/>
      <c r="CX30" s="156"/>
      <c r="CY30" s="151"/>
      <c r="CZ30" s="152"/>
      <c r="DA30" s="152"/>
      <c r="DB30" s="157"/>
      <c r="DC30" s="151"/>
      <c r="DD30" s="161"/>
      <c r="DE30" s="152"/>
      <c r="DF30" s="157"/>
      <c r="DG30" s="158"/>
      <c r="DH30" s="156"/>
      <c r="DI30" s="151"/>
      <c r="DJ30" s="152"/>
      <c r="DK30" s="152"/>
      <c r="DL30" s="157"/>
      <c r="DM30" s="151"/>
      <c r="DN30" s="152"/>
      <c r="DO30" s="152"/>
      <c r="DP30" s="157"/>
      <c r="DQ30" s="156"/>
      <c r="DR30" s="156"/>
      <c r="DS30" s="159"/>
      <c r="DT30" s="160"/>
      <c r="DU30" s="34"/>
    </row>
    <row r="31" ht="12.75" customHeight="1">
      <c r="A31" s="48" t="s">
        <v>228</v>
      </c>
      <c r="B31" s="194" t="s">
        <v>137</v>
      </c>
      <c r="C31" s="151">
        <v>4.08</v>
      </c>
      <c r="D31" s="161">
        <v>97618.0</v>
      </c>
      <c r="E31" s="152">
        <f>D31-93733</f>
        <v>3885</v>
      </c>
      <c r="F31" s="15">
        <f t="shared" si="1"/>
        <v>15850.8</v>
      </c>
      <c r="G31" s="151">
        <v>2.06</v>
      </c>
      <c r="H31" s="161">
        <v>50097.0</v>
      </c>
      <c r="I31" s="152">
        <f>H31-48149</f>
        <v>1948</v>
      </c>
      <c r="J31" s="15">
        <f t="shared" si="2"/>
        <v>4012.88</v>
      </c>
      <c r="K31" s="153">
        <f t="shared" si="3"/>
        <v>19863.68</v>
      </c>
      <c r="L31" s="154">
        <v>19864.0</v>
      </c>
      <c r="M31" s="151">
        <v>4.08</v>
      </c>
      <c r="N31" s="161">
        <v>100494.0</v>
      </c>
      <c r="O31" s="155">
        <f t="shared" si="5"/>
        <v>2876</v>
      </c>
      <c r="P31" s="15">
        <f t="shared" si="6"/>
        <v>11734.08</v>
      </c>
      <c r="Q31" s="151">
        <v>2.06</v>
      </c>
      <c r="R31" s="161">
        <v>51601.0</v>
      </c>
      <c r="S31" s="155">
        <f t="shared" si="8"/>
        <v>1504</v>
      </c>
      <c r="T31" s="15">
        <f t="shared" si="9"/>
        <v>3098.24</v>
      </c>
      <c r="U31" s="153">
        <f t="shared" si="10"/>
        <v>14832.32</v>
      </c>
      <c r="V31" s="154">
        <v>14832.0</v>
      </c>
      <c r="W31" s="151">
        <v>4.08</v>
      </c>
      <c r="X31" s="161">
        <v>103805.0</v>
      </c>
      <c r="Y31" s="152">
        <f t="shared" si="12"/>
        <v>3311</v>
      </c>
      <c r="Z31" s="15">
        <f t="shared" si="13"/>
        <v>13508.88</v>
      </c>
      <c r="AA31" s="151">
        <v>2.06</v>
      </c>
      <c r="AB31" s="161">
        <v>53313.0</v>
      </c>
      <c r="AC31" s="152">
        <f t="shared" si="15"/>
        <v>1712</v>
      </c>
      <c r="AD31" s="15">
        <f t="shared" si="16"/>
        <v>3526.72</v>
      </c>
      <c r="AE31" s="153">
        <f t="shared" si="17"/>
        <v>17035.6</v>
      </c>
      <c r="AF31" s="154">
        <v>17036.0</v>
      </c>
      <c r="AG31" s="151">
        <v>4.08</v>
      </c>
      <c r="AH31" s="161">
        <v>104738.0</v>
      </c>
      <c r="AI31" s="155">
        <f t="shared" si="19"/>
        <v>933</v>
      </c>
      <c r="AJ31" s="15">
        <f t="shared" si="51"/>
        <v>3806.64</v>
      </c>
      <c r="AK31" s="151">
        <v>2.06</v>
      </c>
      <c r="AL31" s="161">
        <v>53826.0</v>
      </c>
      <c r="AM31" s="155">
        <f t="shared" si="21"/>
        <v>513</v>
      </c>
      <c r="AN31" s="15">
        <f t="shared" si="52"/>
        <v>1056.78</v>
      </c>
      <c r="AO31" s="156">
        <f t="shared" si="22"/>
        <v>4863.42</v>
      </c>
      <c r="AP31" s="154">
        <v>4863.0</v>
      </c>
      <c r="AQ31" s="151">
        <v>4.08</v>
      </c>
      <c r="AR31" s="161">
        <v>105212.0</v>
      </c>
      <c r="AS31" s="152">
        <f t="shared" si="24"/>
        <v>474</v>
      </c>
      <c r="AT31" s="15">
        <f t="shared" si="25"/>
        <v>1933.92</v>
      </c>
      <c r="AU31" s="151">
        <v>2.06</v>
      </c>
      <c r="AV31" s="161">
        <v>54046.0</v>
      </c>
      <c r="AW31" s="152">
        <f t="shared" si="27"/>
        <v>220</v>
      </c>
      <c r="AX31" s="15">
        <f t="shared" si="28"/>
        <v>453.2</v>
      </c>
      <c r="AY31" s="156">
        <f t="shared" si="29"/>
        <v>2387.12</v>
      </c>
      <c r="AZ31" s="44">
        <v>2387.0</v>
      </c>
      <c r="BA31" s="151">
        <v>4.08</v>
      </c>
      <c r="BB31" s="161">
        <v>106251.0</v>
      </c>
      <c r="BC31" s="152">
        <f t="shared" si="31"/>
        <v>1039</v>
      </c>
      <c r="BD31" s="15">
        <f t="shared" si="32"/>
        <v>4239.12</v>
      </c>
      <c r="BE31" s="151">
        <v>2.06</v>
      </c>
      <c r="BF31" s="161">
        <v>54499.0</v>
      </c>
      <c r="BG31" s="152">
        <f t="shared" si="34"/>
        <v>453</v>
      </c>
      <c r="BH31" s="15">
        <f t="shared" si="35"/>
        <v>933.18</v>
      </c>
      <c r="BI31" s="156">
        <f t="shared" si="36"/>
        <v>5172.3</v>
      </c>
      <c r="BJ31" s="154">
        <v>5172.0</v>
      </c>
      <c r="BK31" s="151">
        <v>4.28</v>
      </c>
      <c r="BL31" s="161">
        <v>106780.0</v>
      </c>
      <c r="BM31" s="152">
        <f t="shared" si="38"/>
        <v>529</v>
      </c>
      <c r="BN31" s="15">
        <f t="shared" si="39"/>
        <v>2264.12</v>
      </c>
      <c r="BO31" s="151">
        <v>2.23</v>
      </c>
      <c r="BP31" s="161">
        <v>54723.0</v>
      </c>
      <c r="BQ31" s="152">
        <f t="shared" si="41"/>
        <v>224</v>
      </c>
      <c r="BR31" s="15">
        <f t="shared" si="42"/>
        <v>499.52</v>
      </c>
      <c r="BS31" s="156">
        <f t="shared" si="43"/>
        <v>2763.64</v>
      </c>
      <c r="BT31" s="154">
        <v>2764.0</v>
      </c>
      <c r="BU31" s="151">
        <v>4.28</v>
      </c>
      <c r="BV31" s="161">
        <v>106895.0</v>
      </c>
      <c r="BW31" s="152">
        <f t="shared" si="45"/>
        <v>115</v>
      </c>
      <c r="BX31" s="15">
        <f t="shared" si="46"/>
        <v>492.2</v>
      </c>
      <c r="BY31" s="151">
        <v>2.23</v>
      </c>
      <c r="BZ31" s="161">
        <v>54782.0</v>
      </c>
      <c r="CA31" s="152">
        <f t="shared" si="48"/>
        <v>59</v>
      </c>
      <c r="CB31" s="15">
        <f t="shared" si="49"/>
        <v>131.57</v>
      </c>
      <c r="CC31" s="156">
        <f t="shared" si="50"/>
        <v>623.77</v>
      </c>
      <c r="CD31" s="154"/>
      <c r="CE31" s="151"/>
      <c r="CF31" s="161"/>
      <c r="CG31" s="155"/>
      <c r="CH31" s="15"/>
      <c r="CI31" s="151"/>
      <c r="CJ31" s="161"/>
      <c r="CK31" s="155"/>
      <c r="CL31" s="15"/>
      <c r="CM31" s="156"/>
      <c r="CN31" s="154"/>
      <c r="CO31" s="151"/>
      <c r="CP31" s="161"/>
      <c r="CQ31" s="152"/>
      <c r="CR31" s="15"/>
      <c r="CS31" s="151"/>
      <c r="CT31" s="161"/>
      <c r="CU31" s="152"/>
      <c r="CV31" s="15"/>
      <c r="CW31" s="156"/>
      <c r="CX31" s="154"/>
      <c r="CY31" s="151"/>
      <c r="CZ31" s="161"/>
      <c r="DA31" s="152"/>
      <c r="DB31" s="157"/>
      <c r="DC31" s="151"/>
      <c r="DD31" s="161"/>
      <c r="DE31" s="152"/>
      <c r="DF31" s="157"/>
      <c r="DG31" s="158"/>
      <c r="DH31" s="156"/>
      <c r="DI31" s="151"/>
      <c r="DJ31" s="152"/>
      <c r="DK31" s="152"/>
      <c r="DL31" s="157"/>
      <c r="DM31" s="151"/>
      <c r="DN31" s="152"/>
      <c r="DO31" s="152"/>
      <c r="DP31" s="157"/>
      <c r="DQ31" s="156"/>
      <c r="DR31" s="156"/>
      <c r="DS31" s="159"/>
      <c r="DT31" s="160"/>
      <c r="DU31" s="34"/>
    </row>
    <row r="32" ht="12.75" customHeight="1">
      <c r="A32" s="48" t="s">
        <v>140</v>
      </c>
      <c r="B32" s="36" t="s">
        <v>141</v>
      </c>
      <c r="C32" s="151">
        <v>4.08</v>
      </c>
      <c r="D32" s="161">
        <v>30423.0</v>
      </c>
      <c r="E32" s="152">
        <f>D32-29497</f>
        <v>926</v>
      </c>
      <c r="F32" s="15">
        <f t="shared" si="1"/>
        <v>3778.08</v>
      </c>
      <c r="G32" s="151">
        <v>2.06</v>
      </c>
      <c r="H32" s="161">
        <v>14665.0</v>
      </c>
      <c r="I32" s="152">
        <f>H32-14222</f>
        <v>443</v>
      </c>
      <c r="J32" s="15">
        <f t="shared" si="2"/>
        <v>912.58</v>
      </c>
      <c r="K32" s="153">
        <f t="shared" si="3"/>
        <v>4690.66</v>
      </c>
      <c r="L32" s="154">
        <v>4691.0</v>
      </c>
      <c r="M32" s="151">
        <v>4.08</v>
      </c>
      <c r="N32" s="161">
        <v>31383.0</v>
      </c>
      <c r="O32" s="155">
        <f t="shared" si="5"/>
        <v>960</v>
      </c>
      <c r="P32" s="15">
        <f t="shared" si="6"/>
        <v>3916.8</v>
      </c>
      <c r="Q32" s="151">
        <v>2.06</v>
      </c>
      <c r="R32" s="161">
        <v>15171.0</v>
      </c>
      <c r="S32" s="155">
        <f t="shared" si="8"/>
        <v>506</v>
      </c>
      <c r="T32" s="15">
        <f t="shared" si="9"/>
        <v>1042.36</v>
      </c>
      <c r="U32" s="153">
        <f t="shared" si="10"/>
        <v>4959.16</v>
      </c>
      <c r="V32" s="154">
        <v>4959.0</v>
      </c>
      <c r="W32" s="151">
        <v>4.08</v>
      </c>
      <c r="X32" s="161">
        <v>32676.0</v>
      </c>
      <c r="Y32" s="152">
        <f t="shared" si="12"/>
        <v>1293</v>
      </c>
      <c r="Z32" s="15">
        <f t="shared" si="13"/>
        <v>5275.44</v>
      </c>
      <c r="AA32" s="151">
        <v>2.06</v>
      </c>
      <c r="AB32" s="161">
        <v>15842.0</v>
      </c>
      <c r="AC32" s="152">
        <f t="shared" si="15"/>
        <v>671</v>
      </c>
      <c r="AD32" s="15">
        <f t="shared" si="16"/>
        <v>1382.26</v>
      </c>
      <c r="AE32" s="153">
        <f t="shared" si="17"/>
        <v>6657.7</v>
      </c>
      <c r="AF32" s="154">
        <v>6658.0</v>
      </c>
      <c r="AG32" s="151">
        <v>4.08</v>
      </c>
      <c r="AH32" s="161">
        <v>33107.0</v>
      </c>
      <c r="AI32" s="155">
        <f t="shared" si="19"/>
        <v>431</v>
      </c>
      <c r="AJ32" s="15">
        <f t="shared" si="51"/>
        <v>1758.48</v>
      </c>
      <c r="AK32" s="151">
        <v>2.06</v>
      </c>
      <c r="AL32" s="161">
        <v>15990.0</v>
      </c>
      <c r="AM32" s="155">
        <f t="shared" si="21"/>
        <v>148</v>
      </c>
      <c r="AN32" s="15">
        <f t="shared" si="52"/>
        <v>304.88</v>
      </c>
      <c r="AO32" s="156">
        <f t="shared" si="22"/>
        <v>2063.36</v>
      </c>
      <c r="AP32" s="154">
        <v>2063.0</v>
      </c>
      <c r="AQ32" s="151">
        <v>4.08</v>
      </c>
      <c r="AR32" s="161">
        <v>33385.0</v>
      </c>
      <c r="AS32" s="152">
        <f t="shared" si="24"/>
        <v>278</v>
      </c>
      <c r="AT32" s="15">
        <f t="shared" si="25"/>
        <v>1134.24</v>
      </c>
      <c r="AU32" s="151">
        <v>2.06</v>
      </c>
      <c r="AV32" s="161">
        <v>16143.0</v>
      </c>
      <c r="AW32" s="152">
        <f t="shared" si="27"/>
        <v>153</v>
      </c>
      <c r="AX32" s="15">
        <f t="shared" si="28"/>
        <v>315.18</v>
      </c>
      <c r="AY32" s="156">
        <f t="shared" si="29"/>
        <v>1449.42</v>
      </c>
      <c r="AZ32" s="154">
        <v>1449.0</v>
      </c>
      <c r="BA32" s="151">
        <v>4.08</v>
      </c>
      <c r="BB32" s="161">
        <v>33602.0</v>
      </c>
      <c r="BC32" s="152">
        <f t="shared" si="31"/>
        <v>217</v>
      </c>
      <c r="BD32" s="15">
        <f t="shared" si="32"/>
        <v>885.36</v>
      </c>
      <c r="BE32" s="151">
        <v>2.06</v>
      </c>
      <c r="BF32" s="161">
        <v>16228.0</v>
      </c>
      <c r="BG32" s="152">
        <f t="shared" si="34"/>
        <v>85</v>
      </c>
      <c r="BH32" s="15">
        <f t="shared" si="35"/>
        <v>175.1</v>
      </c>
      <c r="BI32" s="156">
        <f t="shared" si="36"/>
        <v>1060.46</v>
      </c>
      <c r="BJ32" s="154">
        <v>1060.0</v>
      </c>
      <c r="BK32" s="151">
        <v>4.28</v>
      </c>
      <c r="BL32" s="161">
        <v>33791.0</v>
      </c>
      <c r="BM32" s="152">
        <f t="shared" si="38"/>
        <v>189</v>
      </c>
      <c r="BN32" s="15">
        <f t="shared" si="39"/>
        <v>808.92</v>
      </c>
      <c r="BO32" s="151">
        <v>2.23</v>
      </c>
      <c r="BP32" s="161">
        <v>16276.0</v>
      </c>
      <c r="BQ32" s="152">
        <f t="shared" si="41"/>
        <v>48</v>
      </c>
      <c r="BR32" s="15">
        <f t="shared" si="42"/>
        <v>107.04</v>
      </c>
      <c r="BS32" s="156">
        <f t="shared" si="43"/>
        <v>915.96</v>
      </c>
      <c r="BT32" s="154">
        <v>916.0</v>
      </c>
      <c r="BU32" s="151">
        <v>4.28</v>
      </c>
      <c r="BV32" s="161">
        <v>34039.0</v>
      </c>
      <c r="BW32" s="152">
        <f t="shared" si="45"/>
        <v>248</v>
      </c>
      <c r="BX32" s="15">
        <f t="shared" si="46"/>
        <v>1061.44</v>
      </c>
      <c r="BY32" s="151">
        <v>2.23</v>
      </c>
      <c r="BZ32" s="161">
        <v>16331.0</v>
      </c>
      <c r="CA32" s="152">
        <f t="shared" si="48"/>
        <v>55</v>
      </c>
      <c r="CB32" s="15">
        <f t="shared" si="49"/>
        <v>122.65</v>
      </c>
      <c r="CC32" s="156">
        <f t="shared" si="50"/>
        <v>1184.09</v>
      </c>
      <c r="CD32" s="154"/>
      <c r="CE32" s="151"/>
      <c r="CF32" s="161"/>
      <c r="CG32" s="155"/>
      <c r="CH32" s="15"/>
      <c r="CI32" s="151"/>
      <c r="CJ32" s="161"/>
      <c r="CK32" s="155"/>
      <c r="CL32" s="15"/>
      <c r="CM32" s="156"/>
      <c r="CN32" s="154"/>
      <c r="CO32" s="151"/>
      <c r="CP32" s="161"/>
      <c r="CQ32" s="152"/>
      <c r="CR32" s="15"/>
      <c r="CS32" s="151"/>
      <c r="CT32" s="161"/>
      <c r="CU32" s="152"/>
      <c r="CV32" s="15"/>
      <c r="CW32" s="156"/>
      <c r="CX32" s="154"/>
      <c r="CY32" s="151"/>
      <c r="CZ32" s="161"/>
      <c r="DA32" s="152"/>
      <c r="DB32" s="157"/>
      <c r="DC32" s="151"/>
      <c r="DD32" s="161"/>
      <c r="DE32" s="152"/>
      <c r="DF32" s="157"/>
      <c r="DG32" s="158"/>
      <c r="DH32" s="156"/>
      <c r="DI32" s="151"/>
      <c r="DJ32" s="152"/>
      <c r="DK32" s="152"/>
      <c r="DL32" s="157"/>
      <c r="DM32" s="151"/>
      <c r="DN32" s="152"/>
      <c r="DO32" s="152"/>
      <c r="DP32" s="157"/>
      <c r="DQ32" s="156"/>
      <c r="DR32" s="156"/>
      <c r="DS32" s="159"/>
      <c r="DT32" s="160"/>
      <c r="DU32" s="34"/>
    </row>
    <row r="33" ht="12.75" customHeight="1">
      <c r="A33" s="48" t="s">
        <v>142</v>
      </c>
      <c r="B33" s="36" t="s">
        <v>143</v>
      </c>
      <c r="C33" s="151">
        <v>4.08</v>
      </c>
      <c r="D33" s="161">
        <v>69187.0</v>
      </c>
      <c r="E33" s="152">
        <f>D33-67334</f>
        <v>1853</v>
      </c>
      <c r="F33" s="15">
        <f t="shared" si="1"/>
        <v>7560.24</v>
      </c>
      <c r="G33" s="151">
        <v>2.06</v>
      </c>
      <c r="H33" s="161">
        <v>31657.0</v>
      </c>
      <c r="I33" s="152">
        <f>H33-30864</f>
        <v>793</v>
      </c>
      <c r="J33" s="15">
        <f t="shared" si="2"/>
        <v>1633.58</v>
      </c>
      <c r="K33" s="153">
        <f t="shared" si="3"/>
        <v>9193.82</v>
      </c>
      <c r="L33" s="154">
        <v>9194.0</v>
      </c>
      <c r="M33" s="151">
        <v>4.08</v>
      </c>
      <c r="N33" s="161">
        <v>71146.0</v>
      </c>
      <c r="O33" s="155">
        <f t="shared" si="5"/>
        <v>1959</v>
      </c>
      <c r="P33" s="15">
        <f t="shared" si="6"/>
        <v>7992.72</v>
      </c>
      <c r="Q33" s="151">
        <v>2.06</v>
      </c>
      <c r="R33" s="161">
        <v>32536.0</v>
      </c>
      <c r="S33" s="155">
        <f t="shared" si="8"/>
        <v>879</v>
      </c>
      <c r="T33" s="15">
        <f t="shared" si="9"/>
        <v>1810.74</v>
      </c>
      <c r="U33" s="153">
        <f t="shared" si="10"/>
        <v>9803.46</v>
      </c>
      <c r="V33" s="154">
        <v>9803.0</v>
      </c>
      <c r="W33" s="151">
        <v>4.08</v>
      </c>
      <c r="X33" s="161">
        <v>73015.0</v>
      </c>
      <c r="Y33" s="152">
        <f t="shared" si="12"/>
        <v>1869</v>
      </c>
      <c r="Z33" s="15">
        <f t="shared" si="13"/>
        <v>7625.52</v>
      </c>
      <c r="AA33" s="151">
        <v>2.06</v>
      </c>
      <c r="AB33" s="161">
        <v>33323.0</v>
      </c>
      <c r="AC33" s="152">
        <f t="shared" si="15"/>
        <v>787</v>
      </c>
      <c r="AD33" s="15">
        <f t="shared" si="16"/>
        <v>1621.22</v>
      </c>
      <c r="AE33" s="153">
        <f t="shared" si="17"/>
        <v>9246.74</v>
      </c>
      <c r="AF33" s="154">
        <v>9247.0</v>
      </c>
      <c r="AG33" s="151">
        <v>4.08</v>
      </c>
      <c r="AH33" s="161">
        <v>73824.0</v>
      </c>
      <c r="AI33" s="155">
        <f t="shared" si="19"/>
        <v>809</v>
      </c>
      <c r="AJ33" s="15">
        <f t="shared" si="51"/>
        <v>3300.72</v>
      </c>
      <c r="AK33" s="151">
        <v>2.06</v>
      </c>
      <c r="AL33" s="161">
        <v>33671.0</v>
      </c>
      <c r="AM33" s="155">
        <f t="shared" si="21"/>
        <v>348</v>
      </c>
      <c r="AN33" s="15">
        <f t="shared" si="52"/>
        <v>716.88</v>
      </c>
      <c r="AO33" s="156">
        <f t="shared" si="22"/>
        <v>4017.6</v>
      </c>
      <c r="AP33" s="154">
        <v>4018.0</v>
      </c>
      <c r="AQ33" s="151">
        <v>4.08</v>
      </c>
      <c r="AR33" s="161">
        <v>74456.0</v>
      </c>
      <c r="AS33" s="152">
        <f t="shared" si="24"/>
        <v>632</v>
      </c>
      <c r="AT33" s="15">
        <f t="shared" si="25"/>
        <v>2578.56</v>
      </c>
      <c r="AU33" s="151">
        <v>2.06</v>
      </c>
      <c r="AV33" s="161">
        <v>33862.0</v>
      </c>
      <c r="AW33" s="152">
        <f t="shared" si="27"/>
        <v>191</v>
      </c>
      <c r="AX33" s="15">
        <f t="shared" si="28"/>
        <v>393.46</v>
      </c>
      <c r="AY33" s="156">
        <f t="shared" si="29"/>
        <v>2972.02</v>
      </c>
      <c r="AZ33" s="154">
        <v>2972.0</v>
      </c>
      <c r="BA33" s="151">
        <v>4.08</v>
      </c>
      <c r="BB33" s="161">
        <v>75250.0</v>
      </c>
      <c r="BC33" s="152">
        <f t="shared" si="31"/>
        <v>794</v>
      </c>
      <c r="BD33" s="15">
        <f t="shared" si="32"/>
        <v>3239.52</v>
      </c>
      <c r="BE33" s="151">
        <v>2.06</v>
      </c>
      <c r="BF33" s="161">
        <v>34045.0</v>
      </c>
      <c r="BG33" s="152">
        <f t="shared" si="34"/>
        <v>183</v>
      </c>
      <c r="BH33" s="15">
        <f t="shared" si="35"/>
        <v>376.98</v>
      </c>
      <c r="BI33" s="156">
        <f t="shared" si="36"/>
        <v>3616.5</v>
      </c>
      <c r="BJ33" s="154">
        <v>3617.0</v>
      </c>
      <c r="BK33" s="151">
        <v>4.28</v>
      </c>
      <c r="BL33" s="161">
        <v>75946.0</v>
      </c>
      <c r="BM33" s="152">
        <f t="shared" si="38"/>
        <v>696</v>
      </c>
      <c r="BN33" s="15">
        <f t="shared" si="39"/>
        <v>2978.88</v>
      </c>
      <c r="BO33" s="151">
        <v>2.23</v>
      </c>
      <c r="BP33" s="161">
        <v>34182.0</v>
      </c>
      <c r="BQ33" s="152">
        <f t="shared" si="41"/>
        <v>137</v>
      </c>
      <c r="BR33" s="15">
        <f t="shared" si="42"/>
        <v>305.51</v>
      </c>
      <c r="BS33" s="156">
        <f t="shared" si="43"/>
        <v>3284.39</v>
      </c>
      <c r="BT33" s="154">
        <v>3284.0</v>
      </c>
      <c r="BU33" s="151">
        <v>4.28</v>
      </c>
      <c r="BV33" s="161">
        <v>76755.0</v>
      </c>
      <c r="BW33" s="152">
        <f t="shared" si="45"/>
        <v>809</v>
      </c>
      <c r="BX33" s="15">
        <f t="shared" si="46"/>
        <v>3462.52</v>
      </c>
      <c r="BY33" s="151">
        <v>2.23</v>
      </c>
      <c r="BZ33" s="161">
        <v>34401.0</v>
      </c>
      <c r="CA33" s="152">
        <f t="shared" si="48"/>
        <v>219</v>
      </c>
      <c r="CB33" s="15">
        <f t="shared" si="49"/>
        <v>488.37</v>
      </c>
      <c r="CC33" s="156">
        <f t="shared" si="50"/>
        <v>3950.89</v>
      </c>
      <c r="CD33" s="156"/>
      <c r="CE33" s="151"/>
      <c r="CF33" s="161"/>
      <c r="CG33" s="155"/>
      <c r="CH33" s="15"/>
      <c r="CI33" s="151"/>
      <c r="CJ33" s="161"/>
      <c r="CK33" s="155"/>
      <c r="CL33" s="15"/>
      <c r="CM33" s="156"/>
      <c r="CN33" s="154"/>
      <c r="CO33" s="151"/>
      <c r="CP33" s="161"/>
      <c r="CQ33" s="152"/>
      <c r="CR33" s="15"/>
      <c r="CS33" s="151"/>
      <c r="CT33" s="161"/>
      <c r="CU33" s="152"/>
      <c r="CV33" s="15"/>
      <c r="CW33" s="156"/>
      <c r="CX33" s="156"/>
      <c r="CY33" s="151"/>
      <c r="CZ33" s="161"/>
      <c r="DA33" s="152"/>
      <c r="DB33" s="157"/>
      <c r="DC33" s="151"/>
      <c r="DD33" s="161"/>
      <c r="DE33" s="152"/>
      <c r="DF33" s="157"/>
      <c r="DG33" s="158"/>
      <c r="DH33" s="156"/>
      <c r="DI33" s="151"/>
      <c r="DJ33" s="152"/>
      <c r="DK33" s="152"/>
      <c r="DL33" s="157"/>
      <c r="DM33" s="151"/>
      <c r="DN33" s="152"/>
      <c r="DO33" s="152"/>
      <c r="DP33" s="157"/>
      <c r="DQ33" s="156"/>
      <c r="DR33" s="156"/>
      <c r="DS33" s="159"/>
      <c r="DT33" s="160"/>
      <c r="DU33" s="34"/>
    </row>
    <row r="34" ht="12.75" customHeight="1">
      <c r="A34" s="48" t="s">
        <v>144</v>
      </c>
      <c r="B34" s="36" t="s">
        <v>129</v>
      </c>
      <c r="C34" s="151">
        <v>4.08</v>
      </c>
      <c r="D34" s="161">
        <v>16745.0</v>
      </c>
      <c r="E34" s="152">
        <f>D34-16705</f>
        <v>40</v>
      </c>
      <c r="F34" s="15">
        <f t="shared" si="1"/>
        <v>163.2</v>
      </c>
      <c r="G34" s="151">
        <v>2.06</v>
      </c>
      <c r="H34" s="161">
        <v>9252.0</v>
      </c>
      <c r="I34" s="152">
        <f>H34-9232</f>
        <v>20</v>
      </c>
      <c r="J34" s="15">
        <f t="shared" si="2"/>
        <v>41.2</v>
      </c>
      <c r="K34" s="153">
        <f t="shared" si="3"/>
        <v>204.4</v>
      </c>
      <c r="L34" s="154">
        <v>204.0</v>
      </c>
      <c r="M34" s="151">
        <v>4.08</v>
      </c>
      <c r="N34" s="161">
        <v>16745.0</v>
      </c>
      <c r="O34" s="155">
        <f t="shared" si="5"/>
        <v>0</v>
      </c>
      <c r="P34" s="15">
        <f t="shared" si="6"/>
        <v>0</v>
      </c>
      <c r="Q34" s="151">
        <v>2.06</v>
      </c>
      <c r="R34" s="161">
        <v>9252.0</v>
      </c>
      <c r="S34" s="155">
        <f t="shared" si="8"/>
        <v>0</v>
      </c>
      <c r="T34" s="15">
        <f t="shared" si="9"/>
        <v>0</v>
      </c>
      <c r="U34" s="153">
        <f t="shared" si="10"/>
        <v>0</v>
      </c>
      <c r="V34" s="154">
        <v>0.0</v>
      </c>
      <c r="W34" s="151">
        <v>4.08</v>
      </c>
      <c r="X34" s="161">
        <v>16745.0</v>
      </c>
      <c r="Y34" s="152">
        <f t="shared" si="12"/>
        <v>0</v>
      </c>
      <c r="Z34" s="15">
        <f t="shared" si="13"/>
        <v>0</v>
      </c>
      <c r="AA34" s="151">
        <v>2.06</v>
      </c>
      <c r="AB34" s="161">
        <v>9252.0</v>
      </c>
      <c r="AC34" s="152">
        <f t="shared" si="15"/>
        <v>0</v>
      </c>
      <c r="AD34" s="15">
        <f t="shared" si="16"/>
        <v>0</v>
      </c>
      <c r="AE34" s="153">
        <f t="shared" si="17"/>
        <v>0</v>
      </c>
      <c r="AF34" s="154">
        <v>0.0</v>
      </c>
      <c r="AG34" s="151">
        <v>4.08</v>
      </c>
      <c r="AH34" s="161">
        <v>16838.0</v>
      </c>
      <c r="AI34" s="155">
        <f t="shared" si="19"/>
        <v>93</v>
      </c>
      <c r="AJ34" s="15">
        <f t="shared" si="51"/>
        <v>379.44</v>
      </c>
      <c r="AK34" s="151">
        <v>2.06</v>
      </c>
      <c r="AL34" s="161">
        <v>9296.0</v>
      </c>
      <c r="AM34" s="155">
        <f t="shared" si="21"/>
        <v>44</v>
      </c>
      <c r="AN34" s="15">
        <f t="shared" si="52"/>
        <v>90.64</v>
      </c>
      <c r="AO34" s="156">
        <f t="shared" si="22"/>
        <v>470.08</v>
      </c>
      <c r="AP34" s="154">
        <v>470.0</v>
      </c>
      <c r="AQ34" s="151">
        <v>4.08</v>
      </c>
      <c r="AR34" s="161">
        <v>16950.0</v>
      </c>
      <c r="AS34" s="152">
        <f t="shared" si="24"/>
        <v>112</v>
      </c>
      <c r="AT34" s="15">
        <f t="shared" si="25"/>
        <v>456.96</v>
      </c>
      <c r="AU34" s="151">
        <v>2.06</v>
      </c>
      <c r="AV34" s="161">
        <v>9348.0</v>
      </c>
      <c r="AW34" s="152">
        <f t="shared" si="27"/>
        <v>52</v>
      </c>
      <c r="AX34" s="15">
        <f t="shared" si="28"/>
        <v>107.12</v>
      </c>
      <c r="AY34" s="156">
        <f t="shared" si="29"/>
        <v>564.08</v>
      </c>
      <c r="AZ34" s="154">
        <v>564.0</v>
      </c>
      <c r="BA34" s="151">
        <v>4.08</v>
      </c>
      <c r="BB34" s="161">
        <v>17070.0</v>
      </c>
      <c r="BC34" s="152">
        <f t="shared" si="31"/>
        <v>120</v>
      </c>
      <c r="BD34" s="15">
        <f t="shared" si="32"/>
        <v>489.6</v>
      </c>
      <c r="BE34" s="151">
        <v>2.06</v>
      </c>
      <c r="BF34" s="161">
        <v>9385.0</v>
      </c>
      <c r="BG34" s="152">
        <f t="shared" si="34"/>
        <v>37</v>
      </c>
      <c r="BH34" s="15">
        <f t="shared" si="35"/>
        <v>76.22</v>
      </c>
      <c r="BI34" s="156">
        <f t="shared" si="36"/>
        <v>565.82</v>
      </c>
      <c r="BJ34" s="154">
        <v>566.0</v>
      </c>
      <c r="BK34" s="151">
        <v>4.28</v>
      </c>
      <c r="BL34" s="161">
        <v>17235.0</v>
      </c>
      <c r="BM34" s="152">
        <f t="shared" si="38"/>
        <v>165</v>
      </c>
      <c r="BN34" s="15">
        <f t="shared" si="39"/>
        <v>706.2</v>
      </c>
      <c r="BO34" s="151">
        <v>2.23</v>
      </c>
      <c r="BP34" s="161">
        <v>9432.0</v>
      </c>
      <c r="BQ34" s="152">
        <f t="shared" si="41"/>
        <v>47</v>
      </c>
      <c r="BR34" s="15">
        <f t="shared" si="42"/>
        <v>104.81</v>
      </c>
      <c r="BS34" s="156">
        <f t="shared" si="43"/>
        <v>811.01</v>
      </c>
      <c r="BT34" s="154">
        <v>811.0</v>
      </c>
      <c r="BU34" s="151">
        <v>4.28</v>
      </c>
      <c r="BV34" s="161">
        <v>17352.0</v>
      </c>
      <c r="BW34" s="152">
        <f t="shared" si="45"/>
        <v>117</v>
      </c>
      <c r="BX34" s="15">
        <f t="shared" si="46"/>
        <v>500.76</v>
      </c>
      <c r="BY34" s="151">
        <v>2.23</v>
      </c>
      <c r="BZ34" s="161">
        <v>9475.0</v>
      </c>
      <c r="CA34" s="152">
        <f t="shared" si="48"/>
        <v>43</v>
      </c>
      <c r="CB34" s="15">
        <f t="shared" si="49"/>
        <v>95.89</v>
      </c>
      <c r="CC34" s="156">
        <f t="shared" si="50"/>
        <v>596.65</v>
      </c>
      <c r="CD34" s="154"/>
      <c r="CE34" s="151"/>
      <c r="CF34" s="161"/>
      <c r="CG34" s="155"/>
      <c r="CH34" s="15"/>
      <c r="CI34" s="151"/>
      <c r="CJ34" s="161"/>
      <c r="CK34" s="155"/>
      <c r="CL34" s="15"/>
      <c r="CM34" s="156"/>
      <c r="CN34" s="154"/>
      <c r="CO34" s="151"/>
      <c r="CP34" s="161"/>
      <c r="CQ34" s="152"/>
      <c r="CR34" s="15"/>
      <c r="CS34" s="151"/>
      <c r="CT34" s="161"/>
      <c r="CU34" s="152"/>
      <c r="CV34" s="15"/>
      <c r="CW34" s="156"/>
      <c r="CX34" s="156"/>
      <c r="CY34" s="151"/>
      <c r="CZ34" s="161"/>
      <c r="DA34" s="152"/>
      <c r="DB34" s="157"/>
      <c r="DC34" s="151"/>
      <c r="DD34" s="161"/>
      <c r="DE34" s="152"/>
      <c r="DF34" s="157"/>
      <c r="DG34" s="158"/>
      <c r="DH34" s="156"/>
      <c r="DI34" s="151"/>
      <c r="DJ34" s="152"/>
      <c r="DK34" s="152"/>
      <c r="DL34" s="157"/>
      <c r="DM34" s="151"/>
      <c r="DN34" s="152"/>
      <c r="DO34" s="152"/>
      <c r="DP34" s="157"/>
      <c r="DQ34" s="156"/>
      <c r="DR34" s="156"/>
      <c r="DS34" s="159"/>
      <c r="DT34" s="160"/>
      <c r="DU34" s="34"/>
    </row>
    <row r="35" ht="12.75" customHeight="1">
      <c r="A35" s="48" t="s">
        <v>145</v>
      </c>
      <c r="B35" s="36" t="s">
        <v>146</v>
      </c>
      <c r="C35" s="151">
        <v>4.08</v>
      </c>
      <c r="D35" s="161">
        <v>35044.0</v>
      </c>
      <c r="E35" s="152">
        <f>D35-33694</f>
        <v>1350</v>
      </c>
      <c r="F35" s="15">
        <f t="shared" si="1"/>
        <v>5508</v>
      </c>
      <c r="G35" s="151">
        <v>2.06</v>
      </c>
      <c r="H35" s="161">
        <v>17583.0</v>
      </c>
      <c r="I35" s="152">
        <f>H35-16905</f>
        <v>678</v>
      </c>
      <c r="J35" s="15">
        <f t="shared" si="2"/>
        <v>1396.68</v>
      </c>
      <c r="K35" s="153">
        <f t="shared" si="3"/>
        <v>6904.68</v>
      </c>
      <c r="L35" s="154">
        <v>6905.0</v>
      </c>
      <c r="M35" s="151">
        <v>4.08</v>
      </c>
      <c r="N35" s="161">
        <v>36060.0</v>
      </c>
      <c r="O35" s="155">
        <f t="shared" si="5"/>
        <v>1016</v>
      </c>
      <c r="P35" s="15">
        <f t="shared" si="6"/>
        <v>4145.28</v>
      </c>
      <c r="Q35" s="151">
        <v>2.06</v>
      </c>
      <c r="R35" s="161">
        <v>18089.0</v>
      </c>
      <c r="S35" s="155">
        <f t="shared" si="8"/>
        <v>506</v>
      </c>
      <c r="T35" s="15">
        <f t="shared" si="9"/>
        <v>1042.36</v>
      </c>
      <c r="U35" s="153">
        <f t="shared" si="10"/>
        <v>5187.64</v>
      </c>
      <c r="V35" s="154">
        <v>5188.0</v>
      </c>
      <c r="W35" s="151">
        <v>4.08</v>
      </c>
      <c r="X35" s="161">
        <v>37218.0</v>
      </c>
      <c r="Y35" s="152">
        <f t="shared" si="12"/>
        <v>1158</v>
      </c>
      <c r="Z35" s="15">
        <f t="shared" si="13"/>
        <v>4724.64</v>
      </c>
      <c r="AA35" s="151">
        <v>2.06</v>
      </c>
      <c r="AB35" s="161">
        <v>18683.0</v>
      </c>
      <c r="AC35" s="152">
        <f t="shared" si="15"/>
        <v>594</v>
      </c>
      <c r="AD35" s="15">
        <f t="shared" si="16"/>
        <v>1223.64</v>
      </c>
      <c r="AE35" s="153">
        <f t="shared" si="17"/>
        <v>5948.28</v>
      </c>
      <c r="AF35" s="154">
        <v>5948.0</v>
      </c>
      <c r="AG35" s="151">
        <v>4.08</v>
      </c>
      <c r="AH35" s="161">
        <v>37544.0</v>
      </c>
      <c r="AI35" s="155">
        <f t="shared" si="19"/>
        <v>326</v>
      </c>
      <c r="AJ35" s="15">
        <f t="shared" si="51"/>
        <v>1330.08</v>
      </c>
      <c r="AK35" s="151">
        <v>2.06</v>
      </c>
      <c r="AL35" s="161">
        <v>18823.0</v>
      </c>
      <c r="AM35" s="155">
        <f t="shared" si="21"/>
        <v>140</v>
      </c>
      <c r="AN35" s="15">
        <f t="shared" si="52"/>
        <v>288.4</v>
      </c>
      <c r="AO35" s="156">
        <f t="shared" si="22"/>
        <v>1618.48</v>
      </c>
      <c r="AP35" s="154">
        <v>1618.0</v>
      </c>
      <c r="AQ35" s="151">
        <v>4.08</v>
      </c>
      <c r="AR35" s="161">
        <v>37814.0</v>
      </c>
      <c r="AS35" s="152">
        <f t="shared" si="24"/>
        <v>270</v>
      </c>
      <c r="AT35" s="15">
        <f t="shared" si="25"/>
        <v>1101.6</v>
      </c>
      <c r="AU35" s="151">
        <v>2.06</v>
      </c>
      <c r="AV35" s="161">
        <v>18920.0</v>
      </c>
      <c r="AW35" s="152">
        <f t="shared" si="27"/>
        <v>97</v>
      </c>
      <c r="AX35" s="15">
        <f t="shared" si="28"/>
        <v>199.82</v>
      </c>
      <c r="AY35" s="156">
        <f t="shared" si="29"/>
        <v>1301.42</v>
      </c>
      <c r="AZ35" s="154">
        <v>1301.0</v>
      </c>
      <c r="BA35" s="151">
        <v>4.08</v>
      </c>
      <c r="BB35" s="161">
        <v>38038.0</v>
      </c>
      <c r="BC35" s="152">
        <f t="shared" si="31"/>
        <v>224</v>
      </c>
      <c r="BD35" s="15">
        <f t="shared" si="32"/>
        <v>913.92</v>
      </c>
      <c r="BE35" s="151">
        <v>2.06</v>
      </c>
      <c r="BF35" s="161">
        <v>18998.0</v>
      </c>
      <c r="BG35" s="152">
        <f t="shared" si="34"/>
        <v>78</v>
      </c>
      <c r="BH35" s="15">
        <f t="shared" si="35"/>
        <v>160.68</v>
      </c>
      <c r="BI35" s="156">
        <f t="shared" si="36"/>
        <v>1074.6</v>
      </c>
      <c r="BJ35" s="154">
        <v>1075.0</v>
      </c>
      <c r="BK35" s="151">
        <v>4.28</v>
      </c>
      <c r="BL35" s="161">
        <v>38449.0</v>
      </c>
      <c r="BM35" s="152">
        <f t="shared" si="38"/>
        <v>411</v>
      </c>
      <c r="BN35" s="15">
        <f t="shared" si="39"/>
        <v>1759.08</v>
      </c>
      <c r="BO35" s="151">
        <v>2.23</v>
      </c>
      <c r="BP35" s="161">
        <v>19125.0</v>
      </c>
      <c r="BQ35" s="152">
        <f t="shared" si="41"/>
        <v>127</v>
      </c>
      <c r="BR35" s="15">
        <f t="shared" si="42"/>
        <v>283.21</v>
      </c>
      <c r="BS35" s="156">
        <f t="shared" si="43"/>
        <v>2042.29</v>
      </c>
      <c r="BT35" s="154">
        <v>2042.0</v>
      </c>
      <c r="BU35" s="151">
        <v>4.28</v>
      </c>
      <c r="BV35" s="161">
        <v>38708.0</v>
      </c>
      <c r="BW35" s="152">
        <f t="shared" si="45"/>
        <v>259</v>
      </c>
      <c r="BX35" s="15">
        <f t="shared" si="46"/>
        <v>1108.52</v>
      </c>
      <c r="BY35" s="151">
        <v>2.23</v>
      </c>
      <c r="BZ35" s="161">
        <v>19195.0</v>
      </c>
      <c r="CA35" s="152">
        <f t="shared" si="48"/>
        <v>70</v>
      </c>
      <c r="CB35" s="15">
        <f t="shared" si="49"/>
        <v>156.1</v>
      </c>
      <c r="CC35" s="156">
        <f t="shared" si="50"/>
        <v>1264.62</v>
      </c>
      <c r="CD35" s="154"/>
      <c r="CE35" s="151"/>
      <c r="CF35" s="161"/>
      <c r="CG35" s="155"/>
      <c r="CH35" s="15"/>
      <c r="CI35" s="151"/>
      <c r="CJ35" s="161"/>
      <c r="CK35" s="155"/>
      <c r="CL35" s="15"/>
      <c r="CM35" s="156"/>
      <c r="CN35" s="154"/>
      <c r="CO35" s="151"/>
      <c r="CP35" s="161"/>
      <c r="CQ35" s="152"/>
      <c r="CR35" s="15"/>
      <c r="CS35" s="151"/>
      <c r="CT35" s="161"/>
      <c r="CU35" s="152"/>
      <c r="CV35" s="15"/>
      <c r="CW35" s="156"/>
      <c r="CX35" s="154"/>
      <c r="CY35" s="151"/>
      <c r="CZ35" s="161"/>
      <c r="DA35" s="152"/>
      <c r="DB35" s="157"/>
      <c r="DC35" s="151"/>
      <c r="DD35" s="161"/>
      <c r="DE35" s="152"/>
      <c r="DF35" s="157"/>
      <c r="DG35" s="158"/>
      <c r="DH35" s="156"/>
      <c r="DI35" s="151"/>
      <c r="DJ35" s="152"/>
      <c r="DK35" s="152"/>
      <c r="DL35" s="157"/>
      <c r="DM35" s="151"/>
      <c r="DN35" s="152"/>
      <c r="DO35" s="152"/>
      <c r="DP35" s="157"/>
      <c r="DQ35" s="156"/>
      <c r="DR35" s="156"/>
      <c r="DS35" s="159"/>
      <c r="DT35" s="160"/>
      <c r="DU35" s="34"/>
    </row>
    <row r="36" ht="12.75" customHeight="1">
      <c r="A36" s="48" t="s">
        <v>147</v>
      </c>
      <c r="B36" s="36" t="s">
        <v>148</v>
      </c>
      <c r="C36" s="151">
        <v>4.08</v>
      </c>
      <c r="D36" s="161">
        <v>43973.0</v>
      </c>
      <c r="E36" s="152">
        <f>D36-41764</f>
        <v>2209</v>
      </c>
      <c r="F36" s="15">
        <f t="shared" si="1"/>
        <v>9012.72</v>
      </c>
      <c r="G36" s="151">
        <v>2.06</v>
      </c>
      <c r="H36" s="161">
        <v>23165.0</v>
      </c>
      <c r="I36" s="152">
        <f>H36-22048</f>
        <v>1117</v>
      </c>
      <c r="J36" s="15">
        <f t="shared" si="2"/>
        <v>2301.02</v>
      </c>
      <c r="K36" s="153">
        <f t="shared" si="3"/>
        <v>11313.74</v>
      </c>
      <c r="L36" s="154">
        <v>11314.0</v>
      </c>
      <c r="M36" s="151">
        <v>4.08</v>
      </c>
      <c r="N36" s="161">
        <v>45924.0</v>
      </c>
      <c r="O36" s="155">
        <f t="shared" si="5"/>
        <v>1951</v>
      </c>
      <c r="P36" s="15">
        <f t="shared" si="6"/>
        <v>7960.08</v>
      </c>
      <c r="Q36" s="151">
        <v>2.06</v>
      </c>
      <c r="R36" s="161">
        <v>24153.0</v>
      </c>
      <c r="S36" s="155">
        <f t="shared" si="8"/>
        <v>988</v>
      </c>
      <c r="T36" s="15">
        <f t="shared" si="9"/>
        <v>2035.28</v>
      </c>
      <c r="U36" s="153">
        <f t="shared" si="10"/>
        <v>9995.36</v>
      </c>
      <c r="V36" s="154">
        <v>9995.0</v>
      </c>
      <c r="W36" s="151">
        <v>4.08</v>
      </c>
      <c r="X36" s="161">
        <v>48167.0</v>
      </c>
      <c r="Y36" s="152">
        <f t="shared" si="12"/>
        <v>2243</v>
      </c>
      <c r="Z36" s="15">
        <f t="shared" si="13"/>
        <v>9151.44</v>
      </c>
      <c r="AA36" s="151">
        <v>2.06</v>
      </c>
      <c r="AB36" s="161">
        <v>25321.0</v>
      </c>
      <c r="AC36" s="152">
        <f t="shared" si="15"/>
        <v>1168</v>
      </c>
      <c r="AD36" s="15">
        <f t="shared" si="16"/>
        <v>2406.08</v>
      </c>
      <c r="AE36" s="153">
        <f t="shared" si="17"/>
        <v>11557.52</v>
      </c>
      <c r="AF36" s="154">
        <v>11558.0</v>
      </c>
      <c r="AG36" s="151">
        <v>4.08</v>
      </c>
      <c r="AH36" s="161">
        <v>49572.0</v>
      </c>
      <c r="AI36" s="155">
        <f t="shared" si="19"/>
        <v>1405</v>
      </c>
      <c r="AJ36" s="15">
        <f t="shared" si="51"/>
        <v>5732.4</v>
      </c>
      <c r="AK36" s="151">
        <v>2.06</v>
      </c>
      <c r="AL36" s="161">
        <v>26139.0</v>
      </c>
      <c r="AM36" s="155">
        <f t="shared" si="21"/>
        <v>818</v>
      </c>
      <c r="AN36" s="15">
        <f t="shared" si="52"/>
        <v>1685.08</v>
      </c>
      <c r="AO36" s="156">
        <f t="shared" si="22"/>
        <v>7417.48</v>
      </c>
      <c r="AP36" s="44">
        <v>7417.0</v>
      </c>
      <c r="AQ36" s="151">
        <v>4.08</v>
      </c>
      <c r="AR36" s="161">
        <v>50173.0</v>
      </c>
      <c r="AS36" s="152">
        <f t="shared" si="24"/>
        <v>601</v>
      </c>
      <c r="AT36" s="15">
        <f t="shared" si="25"/>
        <v>2452.08</v>
      </c>
      <c r="AU36" s="151">
        <v>2.06</v>
      </c>
      <c r="AV36" s="161">
        <v>26489.0</v>
      </c>
      <c r="AW36" s="152">
        <f t="shared" si="27"/>
        <v>350</v>
      </c>
      <c r="AX36" s="15">
        <f t="shared" si="28"/>
        <v>721</v>
      </c>
      <c r="AY36" s="156">
        <f t="shared" si="29"/>
        <v>3173.08</v>
      </c>
      <c r="AZ36" s="154">
        <v>3173.0</v>
      </c>
      <c r="BA36" s="151">
        <v>4.08</v>
      </c>
      <c r="BB36" s="161">
        <v>50485.0</v>
      </c>
      <c r="BC36" s="152">
        <f t="shared" si="31"/>
        <v>312</v>
      </c>
      <c r="BD36" s="15">
        <f t="shared" si="32"/>
        <v>1272.96</v>
      </c>
      <c r="BE36" s="151">
        <v>2.06</v>
      </c>
      <c r="BF36" s="161">
        <v>26659.0</v>
      </c>
      <c r="BG36" s="152">
        <f t="shared" si="34"/>
        <v>170</v>
      </c>
      <c r="BH36" s="15">
        <f t="shared" si="35"/>
        <v>350.2</v>
      </c>
      <c r="BI36" s="156">
        <f t="shared" si="36"/>
        <v>1623.16</v>
      </c>
      <c r="BJ36" s="44">
        <v>1623.0</v>
      </c>
      <c r="BK36" s="151">
        <v>4.28</v>
      </c>
      <c r="BL36" s="161">
        <v>51087.0</v>
      </c>
      <c r="BM36" s="152">
        <f t="shared" si="38"/>
        <v>602</v>
      </c>
      <c r="BN36" s="15">
        <f t="shared" si="39"/>
        <v>2576.56</v>
      </c>
      <c r="BO36" s="151">
        <v>2.23</v>
      </c>
      <c r="BP36" s="161">
        <v>26956.0</v>
      </c>
      <c r="BQ36" s="152">
        <f t="shared" si="41"/>
        <v>297</v>
      </c>
      <c r="BR36" s="15">
        <f t="shared" si="42"/>
        <v>662.31</v>
      </c>
      <c r="BS36" s="156">
        <f t="shared" si="43"/>
        <v>3238.87</v>
      </c>
      <c r="BT36" s="154">
        <v>3239.0</v>
      </c>
      <c r="BU36" s="151">
        <v>4.28</v>
      </c>
      <c r="BV36" s="161">
        <v>51808.0</v>
      </c>
      <c r="BW36" s="152">
        <f t="shared" si="45"/>
        <v>721</v>
      </c>
      <c r="BX36" s="15">
        <f t="shared" si="46"/>
        <v>3085.88</v>
      </c>
      <c r="BY36" s="151">
        <v>2.23</v>
      </c>
      <c r="BZ36" s="161">
        <v>27302.0</v>
      </c>
      <c r="CA36" s="152">
        <f t="shared" si="48"/>
        <v>346</v>
      </c>
      <c r="CB36" s="15">
        <f t="shared" si="49"/>
        <v>771.58</v>
      </c>
      <c r="CC36" s="156">
        <f t="shared" si="50"/>
        <v>3857.46</v>
      </c>
      <c r="CD36" s="154">
        <v>3857.0</v>
      </c>
      <c r="CE36" s="151"/>
      <c r="CF36" s="161"/>
      <c r="CG36" s="155"/>
      <c r="CH36" s="15"/>
      <c r="CI36" s="151"/>
      <c r="CJ36" s="161"/>
      <c r="CK36" s="155"/>
      <c r="CL36" s="15"/>
      <c r="CM36" s="156"/>
      <c r="CN36" s="154"/>
      <c r="CO36" s="151"/>
      <c r="CP36" s="161"/>
      <c r="CQ36" s="152"/>
      <c r="CR36" s="15"/>
      <c r="CS36" s="151"/>
      <c r="CT36" s="161"/>
      <c r="CU36" s="152"/>
      <c r="CV36" s="15"/>
      <c r="CW36" s="156"/>
      <c r="CX36" s="154"/>
      <c r="CY36" s="151"/>
      <c r="CZ36" s="161"/>
      <c r="DA36" s="152"/>
      <c r="DB36" s="157"/>
      <c r="DC36" s="151"/>
      <c r="DD36" s="161"/>
      <c r="DE36" s="152"/>
      <c r="DF36" s="157"/>
      <c r="DG36" s="158"/>
      <c r="DH36" s="154"/>
      <c r="DI36" s="151"/>
      <c r="DJ36" s="152"/>
      <c r="DK36" s="152"/>
      <c r="DL36" s="157"/>
      <c r="DM36" s="151"/>
      <c r="DN36" s="152"/>
      <c r="DO36" s="152"/>
      <c r="DP36" s="157"/>
      <c r="DQ36" s="156"/>
      <c r="DR36" s="154"/>
      <c r="DS36" s="159"/>
      <c r="DT36" s="160"/>
      <c r="DU36" s="34"/>
    </row>
    <row r="37" ht="12.75" customHeight="1">
      <c r="A37" s="48" t="s">
        <v>149</v>
      </c>
      <c r="B37" s="36" t="s">
        <v>150</v>
      </c>
      <c r="C37" s="151">
        <v>4.08</v>
      </c>
      <c r="D37" s="161">
        <v>19551.0</v>
      </c>
      <c r="E37" s="152">
        <f>D37-17256</f>
        <v>2295</v>
      </c>
      <c r="F37" s="15">
        <f t="shared" si="1"/>
        <v>9363.6</v>
      </c>
      <c r="G37" s="151">
        <v>2.06</v>
      </c>
      <c r="H37" s="161">
        <v>9372.0</v>
      </c>
      <c r="I37" s="152">
        <f>H37-8271</f>
        <v>1101</v>
      </c>
      <c r="J37" s="15">
        <f t="shared" si="2"/>
        <v>2268.06</v>
      </c>
      <c r="K37" s="153">
        <f t="shared" si="3"/>
        <v>11631.66</v>
      </c>
      <c r="L37" s="154">
        <v>11632.0</v>
      </c>
      <c r="M37" s="151">
        <v>4.08</v>
      </c>
      <c r="N37" s="161">
        <v>21360.0</v>
      </c>
      <c r="O37" s="155">
        <f t="shared" si="5"/>
        <v>1809</v>
      </c>
      <c r="P37" s="15">
        <f t="shared" si="6"/>
        <v>7380.72</v>
      </c>
      <c r="Q37" s="151">
        <v>2.06</v>
      </c>
      <c r="R37" s="161">
        <v>10275.0</v>
      </c>
      <c r="S37" s="155">
        <f t="shared" si="8"/>
        <v>903</v>
      </c>
      <c r="T37" s="15">
        <f t="shared" si="9"/>
        <v>1860.18</v>
      </c>
      <c r="U37" s="153">
        <f t="shared" si="10"/>
        <v>9240.9</v>
      </c>
      <c r="V37" s="154">
        <v>9241.0</v>
      </c>
      <c r="W37" s="151">
        <v>4.08</v>
      </c>
      <c r="X37" s="161">
        <v>23285.0</v>
      </c>
      <c r="Y37" s="152">
        <f t="shared" si="12"/>
        <v>1925</v>
      </c>
      <c r="Z37" s="15">
        <f t="shared" si="13"/>
        <v>7854</v>
      </c>
      <c r="AA37" s="151">
        <v>2.06</v>
      </c>
      <c r="AB37" s="161">
        <v>11237.0</v>
      </c>
      <c r="AC37" s="152">
        <f t="shared" si="15"/>
        <v>962</v>
      </c>
      <c r="AD37" s="15">
        <f t="shared" si="16"/>
        <v>1981.72</v>
      </c>
      <c r="AE37" s="153">
        <f t="shared" si="17"/>
        <v>9835.72</v>
      </c>
      <c r="AF37" s="154">
        <v>9836.0</v>
      </c>
      <c r="AG37" s="151">
        <v>4.08</v>
      </c>
      <c r="AH37" s="161">
        <v>24238.0</v>
      </c>
      <c r="AI37" s="155">
        <f t="shared" si="19"/>
        <v>953</v>
      </c>
      <c r="AJ37" s="15">
        <f t="shared" si="51"/>
        <v>3888.24</v>
      </c>
      <c r="AK37" s="151">
        <v>2.06</v>
      </c>
      <c r="AL37" s="161">
        <v>11728.0</v>
      </c>
      <c r="AM37" s="155">
        <f t="shared" si="21"/>
        <v>491</v>
      </c>
      <c r="AN37" s="15">
        <f t="shared" si="52"/>
        <v>1011.46</v>
      </c>
      <c r="AO37" s="156">
        <f t="shared" si="22"/>
        <v>4899.7</v>
      </c>
      <c r="AP37" s="154">
        <v>4900.0</v>
      </c>
      <c r="AQ37" s="151">
        <v>4.08</v>
      </c>
      <c r="AR37" s="161">
        <v>24685.0</v>
      </c>
      <c r="AS37" s="152">
        <f t="shared" si="24"/>
        <v>447</v>
      </c>
      <c r="AT37" s="15">
        <f t="shared" si="25"/>
        <v>1823.76</v>
      </c>
      <c r="AU37" s="151">
        <v>2.06</v>
      </c>
      <c r="AV37" s="161">
        <v>11929.0</v>
      </c>
      <c r="AW37" s="152">
        <f t="shared" si="27"/>
        <v>201</v>
      </c>
      <c r="AX37" s="15">
        <f t="shared" si="28"/>
        <v>414.06</v>
      </c>
      <c r="AY37" s="156">
        <f t="shared" si="29"/>
        <v>2237.82</v>
      </c>
      <c r="AZ37" s="154">
        <v>2238.0</v>
      </c>
      <c r="BA37" s="151">
        <v>4.08</v>
      </c>
      <c r="BB37" s="161">
        <v>24875.0</v>
      </c>
      <c r="BC37" s="152">
        <f t="shared" si="31"/>
        <v>190</v>
      </c>
      <c r="BD37" s="15">
        <f t="shared" si="32"/>
        <v>775.2</v>
      </c>
      <c r="BE37" s="151">
        <v>2.06</v>
      </c>
      <c r="BF37" s="161">
        <v>12016.0</v>
      </c>
      <c r="BG37" s="152">
        <f t="shared" si="34"/>
        <v>87</v>
      </c>
      <c r="BH37" s="15">
        <f t="shared" si="35"/>
        <v>179.22</v>
      </c>
      <c r="BI37" s="156">
        <f t="shared" si="36"/>
        <v>954.42</v>
      </c>
      <c r="BJ37" s="154">
        <v>954.0</v>
      </c>
      <c r="BK37" s="151">
        <v>4.28</v>
      </c>
      <c r="BL37" s="161">
        <v>25132.0</v>
      </c>
      <c r="BM37" s="152">
        <f t="shared" si="38"/>
        <v>257</v>
      </c>
      <c r="BN37" s="15">
        <f t="shared" si="39"/>
        <v>1099.96</v>
      </c>
      <c r="BO37" s="151">
        <v>2.23</v>
      </c>
      <c r="BP37" s="161">
        <v>12109.0</v>
      </c>
      <c r="BQ37" s="152">
        <f t="shared" si="41"/>
        <v>93</v>
      </c>
      <c r="BR37" s="15">
        <f t="shared" si="42"/>
        <v>207.39</v>
      </c>
      <c r="BS37" s="156">
        <f t="shared" si="43"/>
        <v>1307.35</v>
      </c>
      <c r="BT37" s="154">
        <v>1307.0</v>
      </c>
      <c r="BU37" s="151">
        <v>4.28</v>
      </c>
      <c r="BV37" s="161">
        <v>25345.0</v>
      </c>
      <c r="BW37" s="152">
        <f t="shared" si="45"/>
        <v>213</v>
      </c>
      <c r="BX37" s="15">
        <f t="shared" si="46"/>
        <v>911.64</v>
      </c>
      <c r="BY37" s="151">
        <v>2.23</v>
      </c>
      <c r="BZ37" s="161">
        <v>12191.0</v>
      </c>
      <c r="CA37" s="152">
        <f t="shared" si="48"/>
        <v>82</v>
      </c>
      <c r="CB37" s="15">
        <f t="shared" si="49"/>
        <v>182.86</v>
      </c>
      <c r="CC37" s="156">
        <f t="shared" si="50"/>
        <v>1094.5</v>
      </c>
      <c r="CD37" s="154"/>
      <c r="CE37" s="151"/>
      <c r="CF37" s="161"/>
      <c r="CG37" s="155"/>
      <c r="CH37" s="15"/>
      <c r="CI37" s="151"/>
      <c r="CJ37" s="161"/>
      <c r="CK37" s="155"/>
      <c r="CL37" s="15"/>
      <c r="CM37" s="156"/>
      <c r="CN37" s="154"/>
      <c r="CO37" s="151"/>
      <c r="CP37" s="161"/>
      <c r="CQ37" s="152"/>
      <c r="CR37" s="15"/>
      <c r="CS37" s="151"/>
      <c r="CT37" s="161"/>
      <c r="CU37" s="152"/>
      <c r="CV37" s="15"/>
      <c r="CW37" s="156"/>
      <c r="CX37" s="154"/>
      <c r="CY37" s="151"/>
      <c r="CZ37" s="161"/>
      <c r="DA37" s="152"/>
      <c r="DB37" s="157"/>
      <c r="DC37" s="151"/>
      <c r="DD37" s="161"/>
      <c r="DE37" s="152"/>
      <c r="DF37" s="157"/>
      <c r="DG37" s="158"/>
      <c r="DH37" s="156"/>
      <c r="DI37" s="151"/>
      <c r="DJ37" s="152"/>
      <c r="DK37" s="152"/>
      <c r="DL37" s="157"/>
      <c r="DM37" s="151"/>
      <c r="DN37" s="152"/>
      <c r="DO37" s="152"/>
      <c r="DP37" s="157"/>
      <c r="DQ37" s="156"/>
      <c r="DR37" s="156"/>
      <c r="DS37" s="159"/>
      <c r="DT37" s="160"/>
      <c r="DU37" s="34"/>
    </row>
    <row r="38" ht="12.75" customHeight="1">
      <c r="A38" s="48" t="s">
        <v>151</v>
      </c>
      <c r="B38" s="36" t="s">
        <v>152</v>
      </c>
      <c r="C38" s="151">
        <v>4.08</v>
      </c>
      <c r="D38" s="161">
        <v>8759.0</v>
      </c>
      <c r="E38" s="152">
        <f>D38-8082</f>
        <v>677</v>
      </c>
      <c r="F38" s="15">
        <f t="shared" si="1"/>
        <v>2762.16</v>
      </c>
      <c r="G38" s="151">
        <v>2.06</v>
      </c>
      <c r="H38" s="161">
        <v>4315.0</v>
      </c>
      <c r="I38" s="152">
        <f>H38-3976</f>
        <v>339</v>
      </c>
      <c r="J38" s="15">
        <f t="shared" si="2"/>
        <v>698.34</v>
      </c>
      <c r="K38" s="153">
        <f t="shared" si="3"/>
        <v>3460.5</v>
      </c>
      <c r="L38" s="154">
        <v>3461.0</v>
      </c>
      <c r="M38" s="151">
        <v>4.08</v>
      </c>
      <c r="N38" s="161">
        <v>9275.0</v>
      </c>
      <c r="O38" s="155">
        <f t="shared" si="5"/>
        <v>516</v>
      </c>
      <c r="P38" s="15">
        <f t="shared" si="6"/>
        <v>2105.28</v>
      </c>
      <c r="Q38" s="151">
        <v>2.06</v>
      </c>
      <c r="R38" s="161">
        <v>4562.0</v>
      </c>
      <c r="S38" s="155">
        <f t="shared" si="8"/>
        <v>247</v>
      </c>
      <c r="T38" s="15">
        <f t="shared" si="9"/>
        <v>508.82</v>
      </c>
      <c r="U38" s="153">
        <f t="shared" si="10"/>
        <v>2614.1</v>
      </c>
      <c r="V38" s="154">
        <v>2614.0</v>
      </c>
      <c r="W38" s="151">
        <v>4.08</v>
      </c>
      <c r="X38" s="161">
        <v>9907.0</v>
      </c>
      <c r="Y38" s="152">
        <f t="shared" si="12"/>
        <v>632</v>
      </c>
      <c r="Z38" s="15">
        <f t="shared" si="13"/>
        <v>2578.56</v>
      </c>
      <c r="AA38" s="151">
        <v>2.06</v>
      </c>
      <c r="AB38" s="161">
        <v>4874.0</v>
      </c>
      <c r="AC38" s="152">
        <f t="shared" si="15"/>
        <v>312</v>
      </c>
      <c r="AD38" s="15">
        <f t="shared" si="16"/>
        <v>642.72</v>
      </c>
      <c r="AE38" s="153">
        <f t="shared" si="17"/>
        <v>3221.28</v>
      </c>
      <c r="AF38" s="154">
        <v>3221.0</v>
      </c>
      <c r="AG38" s="151">
        <v>4.08</v>
      </c>
      <c r="AH38" s="161">
        <v>10191.0</v>
      </c>
      <c r="AI38" s="155">
        <f t="shared" si="19"/>
        <v>284</v>
      </c>
      <c r="AJ38" s="15">
        <f t="shared" si="51"/>
        <v>1158.72</v>
      </c>
      <c r="AK38" s="151">
        <v>2.06</v>
      </c>
      <c r="AL38" s="161">
        <v>5012.0</v>
      </c>
      <c r="AM38" s="155">
        <f t="shared" si="21"/>
        <v>138</v>
      </c>
      <c r="AN38" s="15">
        <f t="shared" si="52"/>
        <v>284.28</v>
      </c>
      <c r="AO38" s="156">
        <f t="shared" si="22"/>
        <v>1443</v>
      </c>
      <c r="AP38" s="154">
        <v>1443.0</v>
      </c>
      <c r="AQ38" s="151">
        <v>4.08</v>
      </c>
      <c r="AR38" s="161">
        <v>10350.0</v>
      </c>
      <c r="AS38" s="152">
        <f t="shared" si="24"/>
        <v>159</v>
      </c>
      <c r="AT38" s="15">
        <f t="shared" si="25"/>
        <v>648.72</v>
      </c>
      <c r="AU38" s="151">
        <v>2.06</v>
      </c>
      <c r="AV38" s="161">
        <v>5093.0</v>
      </c>
      <c r="AW38" s="152">
        <f t="shared" si="27"/>
        <v>81</v>
      </c>
      <c r="AX38" s="15">
        <f t="shared" si="28"/>
        <v>166.86</v>
      </c>
      <c r="AY38" s="156">
        <f t="shared" si="29"/>
        <v>815.58</v>
      </c>
      <c r="AZ38" s="154">
        <v>816.0</v>
      </c>
      <c r="BA38" s="151">
        <v>4.08</v>
      </c>
      <c r="BB38" s="161">
        <v>10502.0</v>
      </c>
      <c r="BC38" s="152">
        <f t="shared" si="31"/>
        <v>152</v>
      </c>
      <c r="BD38" s="15">
        <f t="shared" si="32"/>
        <v>620.16</v>
      </c>
      <c r="BE38" s="151">
        <v>2.06</v>
      </c>
      <c r="BF38" s="161">
        <v>5149.0</v>
      </c>
      <c r="BG38" s="152">
        <f t="shared" si="34"/>
        <v>56</v>
      </c>
      <c r="BH38" s="15">
        <f t="shared" si="35"/>
        <v>115.36</v>
      </c>
      <c r="BI38" s="156">
        <f t="shared" si="36"/>
        <v>735.52</v>
      </c>
      <c r="BJ38" s="154">
        <v>736.0</v>
      </c>
      <c r="BK38" s="151">
        <v>4.28</v>
      </c>
      <c r="BL38" s="161">
        <v>10650.0</v>
      </c>
      <c r="BM38" s="152">
        <f t="shared" si="38"/>
        <v>148</v>
      </c>
      <c r="BN38" s="15">
        <f t="shared" si="39"/>
        <v>633.44</v>
      </c>
      <c r="BO38" s="151">
        <v>2.23</v>
      </c>
      <c r="BP38" s="161">
        <v>5210.0</v>
      </c>
      <c r="BQ38" s="152">
        <f t="shared" si="41"/>
        <v>61</v>
      </c>
      <c r="BR38" s="15">
        <f t="shared" si="42"/>
        <v>136.03</v>
      </c>
      <c r="BS38" s="156">
        <f t="shared" si="43"/>
        <v>769.47</v>
      </c>
      <c r="BT38" s="154">
        <v>769.0</v>
      </c>
      <c r="BU38" s="151">
        <v>4.28</v>
      </c>
      <c r="BV38" s="161">
        <v>10787.0</v>
      </c>
      <c r="BW38" s="152">
        <f t="shared" si="45"/>
        <v>137</v>
      </c>
      <c r="BX38" s="15">
        <f t="shared" si="46"/>
        <v>586.36</v>
      </c>
      <c r="BY38" s="151">
        <v>2.23</v>
      </c>
      <c r="BZ38" s="161">
        <v>5262.0</v>
      </c>
      <c r="CA38" s="152">
        <f t="shared" si="48"/>
        <v>52</v>
      </c>
      <c r="CB38" s="15">
        <f t="shared" si="49"/>
        <v>115.96</v>
      </c>
      <c r="CC38" s="156">
        <f t="shared" si="50"/>
        <v>702.32</v>
      </c>
      <c r="CD38" s="154"/>
      <c r="CE38" s="151"/>
      <c r="CF38" s="161"/>
      <c r="CG38" s="155"/>
      <c r="CH38" s="15"/>
      <c r="CI38" s="151"/>
      <c r="CJ38" s="161"/>
      <c r="CK38" s="155"/>
      <c r="CL38" s="15"/>
      <c r="CM38" s="156"/>
      <c r="CN38" s="154"/>
      <c r="CO38" s="151"/>
      <c r="CP38" s="161"/>
      <c r="CQ38" s="152"/>
      <c r="CR38" s="15"/>
      <c r="CS38" s="151"/>
      <c r="CT38" s="161"/>
      <c r="CU38" s="152"/>
      <c r="CV38" s="15"/>
      <c r="CW38" s="156"/>
      <c r="CX38" s="154"/>
      <c r="CY38" s="151"/>
      <c r="CZ38" s="161"/>
      <c r="DA38" s="152"/>
      <c r="DB38" s="157"/>
      <c r="DC38" s="151"/>
      <c r="DD38" s="161"/>
      <c r="DE38" s="152"/>
      <c r="DF38" s="157"/>
      <c r="DG38" s="158"/>
      <c r="DH38" s="154"/>
      <c r="DI38" s="151"/>
      <c r="DJ38" s="152"/>
      <c r="DK38" s="152"/>
      <c r="DL38" s="157"/>
      <c r="DM38" s="151"/>
      <c r="DN38" s="152"/>
      <c r="DO38" s="152"/>
      <c r="DP38" s="157"/>
      <c r="DQ38" s="156"/>
      <c r="DR38" s="156"/>
      <c r="DS38" s="159"/>
      <c r="DT38" s="160"/>
      <c r="DU38" s="34"/>
    </row>
    <row r="39" ht="12.75" customHeight="1">
      <c r="A39" s="48" t="s">
        <v>153</v>
      </c>
      <c r="B39" s="36" t="s">
        <v>154</v>
      </c>
      <c r="C39" s="151">
        <v>4.08</v>
      </c>
      <c r="D39" s="161">
        <v>7678.0</v>
      </c>
      <c r="E39" s="152">
        <f>D39-4962</f>
        <v>2716</v>
      </c>
      <c r="F39" s="15">
        <f t="shared" si="1"/>
        <v>11081.28</v>
      </c>
      <c r="G39" s="151">
        <v>2.06</v>
      </c>
      <c r="H39" s="161">
        <v>3240.0</v>
      </c>
      <c r="I39" s="152">
        <f>H39-2001</f>
        <v>1239</v>
      </c>
      <c r="J39" s="15">
        <f t="shared" si="2"/>
        <v>2552.34</v>
      </c>
      <c r="K39" s="153">
        <f t="shared" si="3"/>
        <v>13633.62</v>
      </c>
      <c r="L39" s="154">
        <v>13634.0</v>
      </c>
      <c r="M39" s="151">
        <v>4.08</v>
      </c>
      <c r="N39" s="161">
        <v>10761.0</v>
      </c>
      <c r="O39" s="155">
        <f t="shared" si="5"/>
        <v>3083</v>
      </c>
      <c r="P39" s="15">
        <f t="shared" si="6"/>
        <v>12578.64</v>
      </c>
      <c r="Q39" s="151">
        <v>2.06</v>
      </c>
      <c r="R39" s="161">
        <v>4743.0</v>
      </c>
      <c r="S39" s="155">
        <f t="shared" si="8"/>
        <v>1503</v>
      </c>
      <c r="T39" s="15">
        <f t="shared" si="9"/>
        <v>3096.18</v>
      </c>
      <c r="U39" s="153">
        <f t="shared" si="10"/>
        <v>15674.82</v>
      </c>
      <c r="V39" s="154">
        <v>15675.0</v>
      </c>
      <c r="W39" s="151">
        <v>4.08</v>
      </c>
      <c r="X39" s="161">
        <v>14489.0</v>
      </c>
      <c r="Y39" s="152">
        <f t="shared" si="12"/>
        <v>3728</v>
      </c>
      <c r="Z39" s="15">
        <f t="shared" si="13"/>
        <v>15210.24</v>
      </c>
      <c r="AA39" s="151">
        <v>2.06</v>
      </c>
      <c r="AB39" s="161">
        <v>6581.0</v>
      </c>
      <c r="AC39" s="152">
        <f t="shared" si="15"/>
        <v>1838</v>
      </c>
      <c r="AD39" s="15">
        <f t="shared" si="16"/>
        <v>3786.28</v>
      </c>
      <c r="AE39" s="153">
        <f t="shared" si="17"/>
        <v>18996.52</v>
      </c>
      <c r="AF39" s="154">
        <v>18997.0</v>
      </c>
      <c r="AG39" s="151">
        <v>4.08</v>
      </c>
      <c r="AH39" s="161">
        <v>16368.0</v>
      </c>
      <c r="AI39" s="155">
        <f t="shared" si="19"/>
        <v>1879</v>
      </c>
      <c r="AJ39" s="15">
        <f t="shared" si="51"/>
        <v>7666.32</v>
      </c>
      <c r="AK39" s="151">
        <v>2.06</v>
      </c>
      <c r="AL39" s="161">
        <v>7528.0</v>
      </c>
      <c r="AM39" s="155">
        <f t="shared" si="21"/>
        <v>947</v>
      </c>
      <c r="AN39" s="15">
        <f t="shared" si="52"/>
        <v>1950.82</v>
      </c>
      <c r="AO39" s="156">
        <f t="shared" si="22"/>
        <v>9617.14</v>
      </c>
      <c r="AP39" s="44">
        <v>9617.0</v>
      </c>
      <c r="AQ39" s="151">
        <v>4.08</v>
      </c>
      <c r="AR39" s="161">
        <v>16893.0</v>
      </c>
      <c r="AS39" s="152">
        <f t="shared" si="24"/>
        <v>525</v>
      </c>
      <c r="AT39" s="15">
        <f t="shared" si="25"/>
        <v>2142</v>
      </c>
      <c r="AU39" s="151">
        <v>2.06</v>
      </c>
      <c r="AV39" s="161">
        <v>7809.0</v>
      </c>
      <c r="AW39" s="152">
        <f t="shared" si="27"/>
        <v>281</v>
      </c>
      <c r="AX39" s="15">
        <f t="shared" si="28"/>
        <v>578.86</v>
      </c>
      <c r="AY39" s="156">
        <f t="shared" si="29"/>
        <v>2720.86</v>
      </c>
      <c r="AZ39" s="44">
        <v>2721.0</v>
      </c>
      <c r="BA39" s="151">
        <v>4.08</v>
      </c>
      <c r="BB39" s="161">
        <v>17167.0</v>
      </c>
      <c r="BC39" s="152">
        <f t="shared" si="31"/>
        <v>274</v>
      </c>
      <c r="BD39" s="15">
        <f t="shared" si="32"/>
        <v>1117.92</v>
      </c>
      <c r="BE39" s="151">
        <v>2.06</v>
      </c>
      <c r="BF39" s="161">
        <v>7938.0</v>
      </c>
      <c r="BG39" s="152">
        <f t="shared" si="34"/>
        <v>129</v>
      </c>
      <c r="BH39" s="15">
        <f t="shared" si="35"/>
        <v>265.74</v>
      </c>
      <c r="BI39" s="156">
        <f t="shared" si="36"/>
        <v>1383.66</v>
      </c>
      <c r="BJ39" s="154">
        <v>1384.0</v>
      </c>
      <c r="BK39" s="151">
        <v>4.28</v>
      </c>
      <c r="BL39" s="161">
        <v>17317.0</v>
      </c>
      <c r="BM39" s="152">
        <f t="shared" si="38"/>
        <v>150</v>
      </c>
      <c r="BN39" s="15">
        <f t="shared" si="39"/>
        <v>642</v>
      </c>
      <c r="BO39" s="151">
        <v>2.23</v>
      </c>
      <c r="BP39" s="161">
        <v>7995.0</v>
      </c>
      <c r="BQ39" s="152">
        <f t="shared" si="41"/>
        <v>57</v>
      </c>
      <c r="BR39" s="15">
        <f t="shared" si="42"/>
        <v>127.11</v>
      </c>
      <c r="BS39" s="156">
        <f t="shared" si="43"/>
        <v>769.11</v>
      </c>
      <c r="BT39" s="154">
        <v>769.0</v>
      </c>
      <c r="BU39" s="151">
        <v>4.28</v>
      </c>
      <c r="BV39" s="161">
        <v>17552.0</v>
      </c>
      <c r="BW39" s="152">
        <f t="shared" si="45"/>
        <v>235</v>
      </c>
      <c r="BX39" s="15">
        <f t="shared" si="46"/>
        <v>1005.8</v>
      </c>
      <c r="BY39" s="151">
        <v>2.23</v>
      </c>
      <c r="BZ39" s="161">
        <v>8081.0</v>
      </c>
      <c r="CA39" s="152">
        <f t="shared" si="48"/>
        <v>86</v>
      </c>
      <c r="CB39" s="15">
        <f t="shared" si="49"/>
        <v>191.78</v>
      </c>
      <c r="CC39" s="156">
        <f t="shared" si="50"/>
        <v>1197.58</v>
      </c>
      <c r="CD39" s="156"/>
      <c r="CE39" s="151"/>
      <c r="CF39" s="161"/>
      <c r="CG39" s="155"/>
      <c r="CH39" s="15"/>
      <c r="CI39" s="151"/>
      <c r="CJ39" s="161"/>
      <c r="CK39" s="155"/>
      <c r="CL39" s="15"/>
      <c r="CM39" s="156"/>
      <c r="CN39" s="154"/>
      <c r="CO39" s="151"/>
      <c r="CP39" s="161"/>
      <c r="CQ39" s="152"/>
      <c r="CR39" s="15"/>
      <c r="CS39" s="151"/>
      <c r="CT39" s="161"/>
      <c r="CU39" s="152"/>
      <c r="CV39" s="15"/>
      <c r="CW39" s="156"/>
      <c r="CX39" s="154"/>
      <c r="CY39" s="151"/>
      <c r="CZ39" s="161"/>
      <c r="DA39" s="152"/>
      <c r="DB39" s="157"/>
      <c r="DC39" s="151"/>
      <c r="DD39" s="161"/>
      <c r="DE39" s="152"/>
      <c r="DF39" s="157"/>
      <c r="DG39" s="158"/>
      <c r="DH39" s="156"/>
      <c r="DI39" s="151"/>
      <c r="DJ39" s="152"/>
      <c r="DK39" s="152"/>
      <c r="DL39" s="157"/>
      <c r="DM39" s="151"/>
      <c r="DN39" s="152"/>
      <c r="DO39" s="152"/>
      <c r="DP39" s="157"/>
      <c r="DQ39" s="156"/>
      <c r="DR39" s="156"/>
      <c r="DS39" s="159"/>
      <c r="DT39" s="160"/>
      <c r="DU39" s="34"/>
    </row>
    <row r="40" ht="12.75" customHeight="1">
      <c r="A40" s="48" t="s">
        <v>155</v>
      </c>
      <c r="B40" s="36" t="s">
        <v>156</v>
      </c>
      <c r="C40" s="151">
        <v>4.08</v>
      </c>
      <c r="D40" s="161">
        <v>30699.0</v>
      </c>
      <c r="E40" s="152">
        <f>D40-29530</f>
        <v>1169</v>
      </c>
      <c r="F40" s="15">
        <f t="shared" si="1"/>
        <v>4769.52</v>
      </c>
      <c r="G40" s="151">
        <v>2.06</v>
      </c>
      <c r="H40" s="161">
        <v>15458.0</v>
      </c>
      <c r="I40" s="152">
        <f>H40-14798</f>
        <v>660</v>
      </c>
      <c r="J40" s="15">
        <f t="shared" si="2"/>
        <v>1359.6</v>
      </c>
      <c r="K40" s="153">
        <f t="shared" si="3"/>
        <v>6129.12</v>
      </c>
      <c r="L40" s="154">
        <v>6129.0</v>
      </c>
      <c r="M40" s="151">
        <v>4.08</v>
      </c>
      <c r="N40" s="161">
        <v>31714.0</v>
      </c>
      <c r="O40" s="155">
        <f t="shared" si="5"/>
        <v>1015</v>
      </c>
      <c r="P40" s="15">
        <f t="shared" si="6"/>
        <v>4141.2</v>
      </c>
      <c r="Q40" s="151">
        <v>2.06</v>
      </c>
      <c r="R40" s="161">
        <v>16067.0</v>
      </c>
      <c r="S40" s="155">
        <f t="shared" si="8"/>
        <v>609</v>
      </c>
      <c r="T40" s="15">
        <f t="shared" si="9"/>
        <v>1254.54</v>
      </c>
      <c r="U40" s="153">
        <f t="shared" si="10"/>
        <v>5395.74</v>
      </c>
      <c r="V40" s="154">
        <v>5396.0</v>
      </c>
      <c r="W40" s="151">
        <v>4.08</v>
      </c>
      <c r="X40" s="161">
        <v>32649.0</v>
      </c>
      <c r="Y40" s="152">
        <f t="shared" si="12"/>
        <v>935</v>
      </c>
      <c r="Z40" s="15">
        <f t="shared" si="13"/>
        <v>3814.8</v>
      </c>
      <c r="AA40" s="151">
        <v>2.06</v>
      </c>
      <c r="AB40" s="161">
        <v>16614.0</v>
      </c>
      <c r="AC40" s="152">
        <f t="shared" si="15"/>
        <v>547</v>
      </c>
      <c r="AD40" s="15">
        <f t="shared" si="16"/>
        <v>1126.82</v>
      </c>
      <c r="AE40" s="153">
        <f t="shared" si="17"/>
        <v>4941.62</v>
      </c>
      <c r="AF40" s="154">
        <v>4929.0</v>
      </c>
      <c r="AG40" s="151">
        <v>4.08</v>
      </c>
      <c r="AH40" s="161">
        <v>33169.0</v>
      </c>
      <c r="AI40" s="155">
        <f t="shared" si="19"/>
        <v>520</v>
      </c>
      <c r="AJ40" s="15">
        <f t="shared" si="51"/>
        <v>2121.6</v>
      </c>
      <c r="AK40" s="151">
        <v>2.06</v>
      </c>
      <c r="AL40" s="161">
        <v>16871.0</v>
      </c>
      <c r="AM40" s="155">
        <f t="shared" si="21"/>
        <v>257</v>
      </c>
      <c r="AN40" s="15">
        <f t="shared" si="52"/>
        <v>529.42</v>
      </c>
      <c r="AO40" s="156">
        <f t="shared" si="22"/>
        <v>2651.02</v>
      </c>
      <c r="AP40" s="154">
        <v>2651.0</v>
      </c>
      <c r="AQ40" s="151">
        <v>4.08</v>
      </c>
      <c r="AR40" s="161">
        <v>33502.0</v>
      </c>
      <c r="AS40" s="152">
        <f t="shared" si="24"/>
        <v>333</v>
      </c>
      <c r="AT40" s="15">
        <f t="shared" si="25"/>
        <v>1358.64</v>
      </c>
      <c r="AU40" s="151">
        <v>2.06</v>
      </c>
      <c r="AV40" s="161">
        <v>17087.0</v>
      </c>
      <c r="AW40" s="152">
        <f t="shared" si="27"/>
        <v>216</v>
      </c>
      <c r="AX40" s="15">
        <f t="shared" si="28"/>
        <v>444.96</v>
      </c>
      <c r="AY40" s="156">
        <f t="shared" si="29"/>
        <v>1803.6</v>
      </c>
      <c r="AZ40" s="154">
        <v>1804.0</v>
      </c>
      <c r="BA40" s="151">
        <v>4.08</v>
      </c>
      <c r="BB40" s="161">
        <v>33703.0</v>
      </c>
      <c r="BC40" s="152">
        <f t="shared" si="31"/>
        <v>201</v>
      </c>
      <c r="BD40" s="15">
        <f t="shared" si="32"/>
        <v>820.08</v>
      </c>
      <c r="BE40" s="151">
        <v>2.06</v>
      </c>
      <c r="BF40" s="161">
        <v>17201.0</v>
      </c>
      <c r="BG40" s="152">
        <f t="shared" si="34"/>
        <v>114</v>
      </c>
      <c r="BH40" s="15">
        <f t="shared" si="35"/>
        <v>234.84</v>
      </c>
      <c r="BI40" s="156">
        <f t="shared" si="36"/>
        <v>1054.92</v>
      </c>
      <c r="BJ40" s="154">
        <v>1055.0</v>
      </c>
      <c r="BK40" s="151">
        <v>4.28</v>
      </c>
      <c r="BL40" s="161">
        <v>33944.0</v>
      </c>
      <c r="BM40" s="152">
        <f t="shared" si="38"/>
        <v>241</v>
      </c>
      <c r="BN40" s="15">
        <f t="shared" si="39"/>
        <v>1031.48</v>
      </c>
      <c r="BO40" s="151">
        <v>2.23</v>
      </c>
      <c r="BP40" s="161">
        <v>17318.0</v>
      </c>
      <c r="BQ40" s="152">
        <f t="shared" si="41"/>
        <v>117</v>
      </c>
      <c r="BR40" s="15">
        <f t="shared" si="42"/>
        <v>260.91</v>
      </c>
      <c r="BS40" s="156">
        <f t="shared" si="43"/>
        <v>1292.39</v>
      </c>
      <c r="BT40" s="154">
        <v>1292.0</v>
      </c>
      <c r="BU40" s="151">
        <v>4.28</v>
      </c>
      <c r="BV40" s="161">
        <v>34216.0</v>
      </c>
      <c r="BW40" s="152">
        <f t="shared" si="45"/>
        <v>272</v>
      </c>
      <c r="BX40" s="15">
        <f t="shared" si="46"/>
        <v>1164.16</v>
      </c>
      <c r="BY40" s="151">
        <v>2.23</v>
      </c>
      <c r="BZ40" s="161">
        <v>17440.0</v>
      </c>
      <c r="CA40" s="152">
        <f t="shared" si="48"/>
        <v>122</v>
      </c>
      <c r="CB40" s="15">
        <f t="shared" si="49"/>
        <v>272.06</v>
      </c>
      <c r="CC40" s="156">
        <f t="shared" si="50"/>
        <v>1436.22</v>
      </c>
      <c r="CD40" s="154"/>
      <c r="CE40" s="151"/>
      <c r="CF40" s="161"/>
      <c r="CG40" s="155"/>
      <c r="CH40" s="15"/>
      <c r="CI40" s="151"/>
      <c r="CJ40" s="161"/>
      <c r="CK40" s="155"/>
      <c r="CL40" s="15"/>
      <c r="CM40" s="156"/>
      <c r="CN40" s="154"/>
      <c r="CO40" s="151"/>
      <c r="CP40" s="161"/>
      <c r="CQ40" s="152"/>
      <c r="CR40" s="15"/>
      <c r="CS40" s="151"/>
      <c r="CT40" s="161"/>
      <c r="CU40" s="152"/>
      <c r="CV40" s="15"/>
      <c r="CW40" s="156"/>
      <c r="CX40" s="154"/>
      <c r="CY40" s="151"/>
      <c r="CZ40" s="161"/>
      <c r="DA40" s="152"/>
      <c r="DB40" s="157"/>
      <c r="DC40" s="151"/>
      <c r="DD40" s="161"/>
      <c r="DE40" s="152"/>
      <c r="DF40" s="157"/>
      <c r="DG40" s="158"/>
      <c r="DH40" s="156"/>
      <c r="DI40" s="151"/>
      <c r="DJ40" s="152"/>
      <c r="DK40" s="152"/>
      <c r="DL40" s="157"/>
      <c r="DM40" s="151"/>
      <c r="DN40" s="152"/>
      <c r="DO40" s="152"/>
      <c r="DP40" s="157"/>
      <c r="DQ40" s="156"/>
      <c r="DR40" s="156"/>
      <c r="DS40" s="159"/>
      <c r="DT40" s="160"/>
      <c r="DU40" s="34"/>
    </row>
    <row r="41" ht="12.75" customHeight="1">
      <c r="A41" s="48" t="s">
        <v>229</v>
      </c>
      <c r="B41" s="36" t="s">
        <v>158</v>
      </c>
      <c r="C41" s="151">
        <v>4.08</v>
      </c>
      <c r="D41" s="161">
        <v>44841.0</v>
      </c>
      <c r="E41" s="152">
        <f>D41-43607</f>
        <v>1234</v>
      </c>
      <c r="F41" s="15">
        <f t="shared" si="1"/>
        <v>5034.72</v>
      </c>
      <c r="G41" s="151">
        <v>2.06</v>
      </c>
      <c r="H41" s="161">
        <v>22744.0</v>
      </c>
      <c r="I41" s="152">
        <f>H41-22177</f>
        <v>567</v>
      </c>
      <c r="J41" s="15">
        <f t="shared" si="2"/>
        <v>1168.02</v>
      </c>
      <c r="K41" s="153">
        <f t="shared" si="3"/>
        <v>6202.74</v>
      </c>
      <c r="L41" s="154">
        <v>6203.0</v>
      </c>
      <c r="M41" s="151">
        <v>4.08</v>
      </c>
      <c r="N41" s="161">
        <v>45931.0</v>
      </c>
      <c r="O41" s="155">
        <f t="shared" si="5"/>
        <v>1090</v>
      </c>
      <c r="P41" s="15">
        <f t="shared" si="6"/>
        <v>4447.2</v>
      </c>
      <c r="Q41" s="151">
        <v>2.06</v>
      </c>
      <c r="R41" s="161">
        <v>23274.0</v>
      </c>
      <c r="S41" s="155">
        <f t="shared" si="8"/>
        <v>530</v>
      </c>
      <c r="T41" s="15">
        <f t="shared" si="9"/>
        <v>1091.8</v>
      </c>
      <c r="U41" s="153">
        <f t="shared" si="10"/>
        <v>5539</v>
      </c>
      <c r="V41" s="154">
        <v>5539.0</v>
      </c>
      <c r="W41" s="151">
        <v>4.08</v>
      </c>
      <c r="X41" s="161">
        <v>47120.0</v>
      </c>
      <c r="Y41" s="152">
        <f t="shared" si="12"/>
        <v>1189</v>
      </c>
      <c r="Z41" s="15">
        <f t="shared" si="13"/>
        <v>4851.12</v>
      </c>
      <c r="AA41" s="151">
        <v>2.06</v>
      </c>
      <c r="AB41" s="161">
        <v>23925.0</v>
      </c>
      <c r="AC41" s="152">
        <f t="shared" si="15"/>
        <v>651</v>
      </c>
      <c r="AD41" s="15">
        <f t="shared" si="16"/>
        <v>1341.06</v>
      </c>
      <c r="AE41" s="153">
        <f t="shared" si="17"/>
        <v>6192.18</v>
      </c>
      <c r="AF41" s="154">
        <v>6192.0</v>
      </c>
      <c r="AG41" s="151">
        <v>4.08</v>
      </c>
      <c r="AH41" s="161">
        <v>47746.0</v>
      </c>
      <c r="AI41" s="155">
        <f t="shared" si="19"/>
        <v>626</v>
      </c>
      <c r="AJ41" s="15">
        <f t="shared" si="51"/>
        <v>2554.08</v>
      </c>
      <c r="AK41" s="151">
        <v>2.06</v>
      </c>
      <c r="AL41" s="161">
        <v>24309.0</v>
      </c>
      <c r="AM41" s="155">
        <f t="shared" si="21"/>
        <v>384</v>
      </c>
      <c r="AN41" s="15">
        <f t="shared" si="52"/>
        <v>791.04</v>
      </c>
      <c r="AO41" s="156">
        <f t="shared" si="22"/>
        <v>3345.12</v>
      </c>
      <c r="AP41" s="154">
        <v>3345.0</v>
      </c>
      <c r="AQ41" s="151">
        <v>4.08</v>
      </c>
      <c r="AR41" s="161">
        <v>48137.0</v>
      </c>
      <c r="AS41" s="152">
        <f t="shared" si="24"/>
        <v>391</v>
      </c>
      <c r="AT41" s="15">
        <f t="shared" si="25"/>
        <v>1595.28</v>
      </c>
      <c r="AU41" s="151">
        <v>2.06</v>
      </c>
      <c r="AV41" s="161">
        <v>24580.0</v>
      </c>
      <c r="AW41" s="152">
        <f t="shared" si="27"/>
        <v>271</v>
      </c>
      <c r="AX41" s="15">
        <f t="shared" si="28"/>
        <v>558.26</v>
      </c>
      <c r="AY41" s="156">
        <f t="shared" si="29"/>
        <v>2153.54</v>
      </c>
      <c r="AZ41" s="154">
        <v>2154.0</v>
      </c>
      <c r="BA41" s="151">
        <v>4.08</v>
      </c>
      <c r="BB41" s="161">
        <v>48530.0</v>
      </c>
      <c r="BC41" s="152">
        <f t="shared" si="31"/>
        <v>393</v>
      </c>
      <c r="BD41" s="15">
        <f t="shared" si="32"/>
        <v>1603.44</v>
      </c>
      <c r="BE41" s="151">
        <v>2.06</v>
      </c>
      <c r="BF41" s="161">
        <v>24785.0</v>
      </c>
      <c r="BG41" s="152">
        <f t="shared" si="34"/>
        <v>205</v>
      </c>
      <c r="BH41" s="15">
        <f t="shared" si="35"/>
        <v>422.3</v>
      </c>
      <c r="BI41" s="156">
        <f t="shared" si="36"/>
        <v>2025.74</v>
      </c>
      <c r="BJ41" s="154">
        <v>2026.0</v>
      </c>
      <c r="BK41" s="151">
        <v>4.28</v>
      </c>
      <c r="BL41" s="161">
        <v>48811.0</v>
      </c>
      <c r="BM41" s="152">
        <f t="shared" si="38"/>
        <v>281</v>
      </c>
      <c r="BN41" s="15">
        <f t="shared" si="39"/>
        <v>1202.68</v>
      </c>
      <c r="BO41" s="151">
        <v>2.23</v>
      </c>
      <c r="BP41" s="161">
        <v>24922.0</v>
      </c>
      <c r="BQ41" s="152">
        <f t="shared" si="41"/>
        <v>137</v>
      </c>
      <c r="BR41" s="15">
        <f t="shared" si="42"/>
        <v>305.51</v>
      </c>
      <c r="BS41" s="156">
        <f t="shared" si="43"/>
        <v>1508.19</v>
      </c>
      <c r="BT41" s="154">
        <v>1508.0</v>
      </c>
      <c r="BU41" s="151">
        <v>4.28</v>
      </c>
      <c r="BV41" s="161">
        <v>49096.0</v>
      </c>
      <c r="BW41" s="152">
        <f t="shared" si="45"/>
        <v>285</v>
      </c>
      <c r="BX41" s="15">
        <f t="shared" si="46"/>
        <v>1219.8</v>
      </c>
      <c r="BY41" s="151">
        <v>2.23</v>
      </c>
      <c r="BZ41" s="161">
        <v>25062.0</v>
      </c>
      <c r="CA41" s="152">
        <f t="shared" si="48"/>
        <v>140</v>
      </c>
      <c r="CB41" s="15">
        <f t="shared" si="49"/>
        <v>312.2</v>
      </c>
      <c r="CC41" s="156">
        <f t="shared" si="50"/>
        <v>1532</v>
      </c>
      <c r="CD41" s="154"/>
      <c r="CE41" s="151"/>
      <c r="CF41" s="161"/>
      <c r="CG41" s="155"/>
      <c r="CH41" s="15"/>
      <c r="CI41" s="151"/>
      <c r="CJ41" s="161"/>
      <c r="CK41" s="155"/>
      <c r="CL41" s="15"/>
      <c r="CM41" s="156"/>
      <c r="CN41" s="154"/>
      <c r="CO41" s="151"/>
      <c r="CP41" s="161"/>
      <c r="CQ41" s="152"/>
      <c r="CR41" s="15"/>
      <c r="CS41" s="151"/>
      <c r="CT41" s="161"/>
      <c r="CU41" s="152"/>
      <c r="CV41" s="15"/>
      <c r="CW41" s="156"/>
      <c r="CX41" s="154"/>
      <c r="CY41" s="151"/>
      <c r="CZ41" s="161"/>
      <c r="DA41" s="152"/>
      <c r="DB41" s="157"/>
      <c r="DC41" s="151"/>
      <c r="DD41" s="161"/>
      <c r="DE41" s="152"/>
      <c r="DF41" s="157"/>
      <c r="DG41" s="158"/>
      <c r="DH41" s="154"/>
      <c r="DI41" s="151"/>
      <c r="DJ41" s="152"/>
      <c r="DK41" s="152"/>
      <c r="DL41" s="157"/>
      <c r="DM41" s="151"/>
      <c r="DN41" s="152"/>
      <c r="DO41" s="152"/>
      <c r="DP41" s="157"/>
      <c r="DQ41" s="156"/>
      <c r="DR41" s="156"/>
      <c r="DS41" s="159"/>
      <c r="DT41" s="160"/>
      <c r="DU41" s="34"/>
    </row>
    <row r="42" ht="12.75" customHeight="1">
      <c r="A42" s="48" t="s">
        <v>230</v>
      </c>
      <c r="B42" s="36" t="s">
        <v>160</v>
      </c>
      <c r="C42" s="151">
        <v>4.08</v>
      </c>
      <c r="D42" s="161">
        <v>63092.0</v>
      </c>
      <c r="E42" s="152">
        <f>D42-61729</f>
        <v>1363</v>
      </c>
      <c r="F42" s="15">
        <f t="shared" si="1"/>
        <v>5561.04</v>
      </c>
      <c r="G42" s="151">
        <v>2.06</v>
      </c>
      <c r="H42" s="161">
        <v>30660.0</v>
      </c>
      <c r="I42" s="152">
        <f>H42-29806</f>
        <v>854</v>
      </c>
      <c r="J42" s="15">
        <f t="shared" si="2"/>
        <v>1759.24</v>
      </c>
      <c r="K42" s="153">
        <f t="shared" si="3"/>
        <v>7320.28</v>
      </c>
      <c r="L42" s="154">
        <v>7320.0</v>
      </c>
      <c r="M42" s="151">
        <v>4.08</v>
      </c>
      <c r="N42" s="161">
        <v>64155.0</v>
      </c>
      <c r="O42" s="155">
        <f t="shared" si="5"/>
        <v>1063</v>
      </c>
      <c r="P42" s="15">
        <f t="shared" si="6"/>
        <v>4337.04</v>
      </c>
      <c r="Q42" s="151">
        <v>2.06</v>
      </c>
      <c r="R42" s="161">
        <v>31492.0</v>
      </c>
      <c r="S42" s="155">
        <f t="shared" si="8"/>
        <v>832</v>
      </c>
      <c r="T42" s="15">
        <f t="shared" si="9"/>
        <v>1713.92</v>
      </c>
      <c r="U42" s="153">
        <f t="shared" si="10"/>
        <v>6050.96</v>
      </c>
      <c r="V42" s="154">
        <v>6051.0</v>
      </c>
      <c r="W42" s="151">
        <v>4.08</v>
      </c>
      <c r="X42" s="161">
        <v>65569.0</v>
      </c>
      <c r="Y42" s="152">
        <f t="shared" si="12"/>
        <v>1414</v>
      </c>
      <c r="Z42" s="15">
        <f t="shared" si="13"/>
        <v>5769.12</v>
      </c>
      <c r="AA42" s="151">
        <v>2.06</v>
      </c>
      <c r="AB42" s="161">
        <v>32702.0</v>
      </c>
      <c r="AC42" s="152">
        <f t="shared" si="15"/>
        <v>1210</v>
      </c>
      <c r="AD42" s="15">
        <f t="shared" si="16"/>
        <v>2492.6</v>
      </c>
      <c r="AE42" s="153">
        <f t="shared" si="17"/>
        <v>8261.72</v>
      </c>
      <c r="AF42" s="154">
        <v>8262.0</v>
      </c>
      <c r="AG42" s="151">
        <v>4.08</v>
      </c>
      <c r="AH42" s="161">
        <v>66193.0</v>
      </c>
      <c r="AI42" s="155">
        <f t="shared" si="19"/>
        <v>624</v>
      </c>
      <c r="AJ42" s="15">
        <f t="shared" si="51"/>
        <v>2545.92</v>
      </c>
      <c r="AK42" s="151">
        <v>2.06</v>
      </c>
      <c r="AL42" s="161">
        <v>33189.0</v>
      </c>
      <c r="AM42" s="155">
        <f t="shared" si="21"/>
        <v>487</v>
      </c>
      <c r="AN42" s="15">
        <f t="shared" si="52"/>
        <v>1003.22</v>
      </c>
      <c r="AO42" s="156">
        <f t="shared" si="22"/>
        <v>3549.14</v>
      </c>
      <c r="AP42" s="154">
        <v>3549.0</v>
      </c>
      <c r="AQ42" s="151">
        <v>4.08</v>
      </c>
      <c r="AR42" s="161">
        <v>66582.0</v>
      </c>
      <c r="AS42" s="152">
        <f t="shared" si="24"/>
        <v>389</v>
      </c>
      <c r="AT42" s="15">
        <f t="shared" si="25"/>
        <v>1587.12</v>
      </c>
      <c r="AU42" s="151">
        <v>2.06</v>
      </c>
      <c r="AV42" s="161">
        <v>33408.0</v>
      </c>
      <c r="AW42" s="152">
        <f t="shared" si="27"/>
        <v>219</v>
      </c>
      <c r="AX42" s="15">
        <f t="shared" si="28"/>
        <v>451.14</v>
      </c>
      <c r="AY42" s="156">
        <f t="shared" si="29"/>
        <v>2038.26</v>
      </c>
      <c r="AZ42" s="154">
        <v>2038.0</v>
      </c>
      <c r="BA42" s="151">
        <v>4.08</v>
      </c>
      <c r="BB42" s="161">
        <v>66921.0</v>
      </c>
      <c r="BC42" s="152">
        <f t="shared" si="31"/>
        <v>339</v>
      </c>
      <c r="BD42" s="15">
        <f t="shared" si="32"/>
        <v>1383.12</v>
      </c>
      <c r="BE42" s="151">
        <v>2.06</v>
      </c>
      <c r="BF42" s="161">
        <v>33541.0</v>
      </c>
      <c r="BG42" s="152">
        <f t="shared" si="34"/>
        <v>133</v>
      </c>
      <c r="BH42" s="15">
        <f t="shared" si="35"/>
        <v>273.98</v>
      </c>
      <c r="BI42" s="156">
        <f t="shared" si="36"/>
        <v>1657.1</v>
      </c>
      <c r="BJ42" s="154">
        <v>1657.0</v>
      </c>
      <c r="BK42" s="151">
        <v>4.28</v>
      </c>
      <c r="BL42" s="161">
        <v>67362.0</v>
      </c>
      <c r="BM42" s="152">
        <f t="shared" si="38"/>
        <v>441</v>
      </c>
      <c r="BN42" s="15">
        <f t="shared" si="39"/>
        <v>1887.48</v>
      </c>
      <c r="BO42" s="151">
        <v>2.23</v>
      </c>
      <c r="BP42" s="161">
        <v>33707.0</v>
      </c>
      <c r="BQ42" s="152">
        <f t="shared" si="41"/>
        <v>166</v>
      </c>
      <c r="BR42" s="15">
        <f t="shared" si="42"/>
        <v>370.18</v>
      </c>
      <c r="BS42" s="156">
        <f t="shared" si="43"/>
        <v>2257.66</v>
      </c>
      <c r="BT42" s="154">
        <v>2258.0</v>
      </c>
      <c r="BU42" s="151">
        <v>4.28</v>
      </c>
      <c r="BV42" s="161">
        <v>67715.0</v>
      </c>
      <c r="BW42" s="152">
        <f t="shared" si="45"/>
        <v>353</v>
      </c>
      <c r="BX42" s="15">
        <f t="shared" si="46"/>
        <v>1510.84</v>
      </c>
      <c r="BY42" s="151">
        <v>2.23</v>
      </c>
      <c r="BZ42" s="161">
        <v>33848.0</v>
      </c>
      <c r="CA42" s="152">
        <f t="shared" si="48"/>
        <v>141</v>
      </c>
      <c r="CB42" s="15">
        <f t="shared" si="49"/>
        <v>314.43</v>
      </c>
      <c r="CC42" s="156">
        <f t="shared" si="50"/>
        <v>1825.27</v>
      </c>
      <c r="CD42" s="154"/>
      <c r="CE42" s="151"/>
      <c r="CF42" s="161"/>
      <c r="CG42" s="155"/>
      <c r="CH42" s="15"/>
      <c r="CI42" s="151"/>
      <c r="CJ42" s="161"/>
      <c r="CK42" s="155"/>
      <c r="CL42" s="15"/>
      <c r="CM42" s="156"/>
      <c r="CN42" s="154"/>
      <c r="CO42" s="151"/>
      <c r="CP42" s="161"/>
      <c r="CQ42" s="152"/>
      <c r="CR42" s="15"/>
      <c r="CS42" s="151"/>
      <c r="CT42" s="161"/>
      <c r="CU42" s="152"/>
      <c r="CV42" s="15"/>
      <c r="CW42" s="156"/>
      <c r="CX42" s="154"/>
      <c r="CY42" s="151"/>
      <c r="CZ42" s="161"/>
      <c r="DA42" s="152"/>
      <c r="DB42" s="157"/>
      <c r="DC42" s="151"/>
      <c r="DD42" s="161"/>
      <c r="DE42" s="152"/>
      <c r="DF42" s="157"/>
      <c r="DG42" s="158"/>
      <c r="DH42" s="154"/>
      <c r="DI42" s="151"/>
      <c r="DJ42" s="152"/>
      <c r="DK42" s="152"/>
      <c r="DL42" s="157"/>
      <c r="DM42" s="151"/>
      <c r="DN42" s="152"/>
      <c r="DO42" s="152"/>
      <c r="DP42" s="157"/>
      <c r="DQ42" s="156"/>
      <c r="DR42" s="156"/>
      <c r="DS42" s="159"/>
      <c r="DT42" s="160"/>
      <c r="DU42" s="34"/>
    </row>
    <row r="43" ht="12.75" customHeight="1">
      <c r="A43" s="48" t="s">
        <v>161</v>
      </c>
      <c r="B43" s="36" t="s">
        <v>162</v>
      </c>
      <c r="C43" s="151">
        <v>4.08</v>
      </c>
      <c r="D43" s="161">
        <v>10869.0</v>
      </c>
      <c r="E43" s="152">
        <f>D43-10077</f>
        <v>792</v>
      </c>
      <c r="F43" s="15">
        <f t="shared" si="1"/>
        <v>3231.36</v>
      </c>
      <c r="G43" s="151">
        <v>2.06</v>
      </c>
      <c r="H43" s="161">
        <v>5201.0</v>
      </c>
      <c r="I43" s="152">
        <f>H43-4834</f>
        <v>367</v>
      </c>
      <c r="J43" s="15">
        <f t="shared" si="2"/>
        <v>756.02</v>
      </c>
      <c r="K43" s="153">
        <f t="shared" si="3"/>
        <v>3987.38</v>
      </c>
      <c r="L43" s="154">
        <v>3987.0</v>
      </c>
      <c r="M43" s="151">
        <v>4.08</v>
      </c>
      <c r="N43" s="161">
        <v>11559.0</v>
      </c>
      <c r="O43" s="155">
        <f t="shared" si="5"/>
        <v>690</v>
      </c>
      <c r="P43" s="15">
        <f t="shared" si="6"/>
        <v>2815.2</v>
      </c>
      <c r="Q43" s="151">
        <v>2.06</v>
      </c>
      <c r="R43" s="161">
        <v>5543.0</v>
      </c>
      <c r="S43" s="155">
        <f t="shared" si="8"/>
        <v>342</v>
      </c>
      <c r="T43" s="15">
        <f t="shared" si="9"/>
        <v>704.52</v>
      </c>
      <c r="U43" s="153">
        <f t="shared" si="10"/>
        <v>3519.72</v>
      </c>
      <c r="V43" s="154">
        <v>3520.0</v>
      </c>
      <c r="W43" s="151">
        <v>4.08</v>
      </c>
      <c r="X43" s="161">
        <v>12317.0</v>
      </c>
      <c r="Y43" s="152">
        <f t="shared" si="12"/>
        <v>758</v>
      </c>
      <c r="Z43" s="15">
        <f t="shared" si="13"/>
        <v>3092.64</v>
      </c>
      <c r="AA43" s="151">
        <v>2.06</v>
      </c>
      <c r="AB43" s="161">
        <v>5930.0</v>
      </c>
      <c r="AC43" s="152">
        <f t="shared" si="15"/>
        <v>387</v>
      </c>
      <c r="AD43" s="15">
        <f t="shared" si="16"/>
        <v>797.22</v>
      </c>
      <c r="AE43" s="153">
        <f t="shared" si="17"/>
        <v>3889.86</v>
      </c>
      <c r="AF43" s="154">
        <v>3890.0</v>
      </c>
      <c r="AG43" s="151">
        <v>4.08</v>
      </c>
      <c r="AH43" s="161">
        <v>12726.0</v>
      </c>
      <c r="AI43" s="155">
        <f t="shared" si="19"/>
        <v>409</v>
      </c>
      <c r="AJ43" s="15">
        <f t="shared" si="51"/>
        <v>1668.72</v>
      </c>
      <c r="AK43" s="151">
        <v>2.06</v>
      </c>
      <c r="AL43" s="161">
        <v>6142.0</v>
      </c>
      <c r="AM43" s="155">
        <f t="shared" si="21"/>
        <v>212</v>
      </c>
      <c r="AN43" s="15">
        <f t="shared" si="52"/>
        <v>436.72</v>
      </c>
      <c r="AO43" s="156">
        <f t="shared" si="22"/>
        <v>2105.44</v>
      </c>
      <c r="AP43" s="154">
        <v>2105.0</v>
      </c>
      <c r="AQ43" s="151">
        <v>4.08</v>
      </c>
      <c r="AR43" s="161">
        <v>13008.0</v>
      </c>
      <c r="AS43" s="152">
        <f t="shared" si="24"/>
        <v>282</v>
      </c>
      <c r="AT43" s="15">
        <f t="shared" si="25"/>
        <v>1150.56</v>
      </c>
      <c r="AU43" s="151">
        <v>2.06</v>
      </c>
      <c r="AV43" s="161">
        <v>6263.0</v>
      </c>
      <c r="AW43" s="152">
        <f t="shared" si="27"/>
        <v>121</v>
      </c>
      <c r="AX43" s="15">
        <f t="shared" si="28"/>
        <v>249.26</v>
      </c>
      <c r="AY43" s="156">
        <f t="shared" si="29"/>
        <v>1399.82</v>
      </c>
      <c r="AZ43" s="154">
        <v>1400.0</v>
      </c>
      <c r="BA43" s="151">
        <v>4.08</v>
      </c>
      <c r="BB43" s="161">
        <v>13314.0</v>
      </c>
      <c r="BC43" s="152">
        <f t="shared" si="31"/>
        <v>306</v>
      </c>
      <c r="BD43" s="15">
        <f t="shared" si="32"/>
        <v>1248.48</v>
      </c>
      <c r="BE43" s="151">
        <v>2.06</v>
      </c>
      <c r="BF43" s="161">
        <v>6349.0</v>
      </c>
      <c r="BG43" s="152">
        <f t="shared" si="34"/>
        <v>86</v>
      </c>
      <c r="BH43" s="15">
        <f t="shared" si="35"/>
        <v>177.16</v>
      </c>
      <c r="BI43" s="156">
        <f t="shared" si="36"/>
        <v>1425.64</v>
      </c>
      <c r="BJ43" s="154">
        <v>1426.0</v>
      </c>
      <c r="BK43" s="151">
        <v>4.28</v>
      </c>
      <c r="BL43" s="161">
        <v>13595.0</v>
      </c>
      <c r="BM43" s="152">
        <f t="shared" si="38"/>
        <v>281</v>
      </c>
      <c r="BN43" s="15">
        <f t="shared" si="39"/>
        <v>1202.68</v>
      </c>
      <c r="BO43" s="151">
        <v>2.23</v>
      </c>
      <c r="BP43" s="161">
        <v>6416.0</v>
      </c>
      <c r="BQ43" s="152">
        <f t="shared" si="41"/>
        <v>67</v>
      </c>
      <c r="BR43" s="15">
        <f t="shared" si="42"/>
        <v>149.41</v>
      </c>
      <c r="BS43" s="156">
        <f t="shared" si="43"/>
        <v>1352.09</v>
      </c>
      <c r="BT43" s="154">
        <v>1352.0</v>
      </c>
      <c r="BU43" s="151">
        <v>4.28</v>
      </c>
      <c r="BV43" s="161">
        <v>13854.0</v>
      </c>
      <c r="BW43" s="152">
        <f t="shared" si="45"/>
        <v>259</v>
      </c>
      <c r="BX43" s="15">
        <f t="shared" si="46"/>
        <v>1108.52</v>
      </c>
      <c r="BY43" s="151">
        <v>2.23</v>
      </c>
      <c r="BZ43" s="161">
        <v>6473.0</v>
      </c>
      <c r="CA43" s="152">
        <f t="shared" si="48"/>
        <v>57</v>
      </c>
      <c r="CB43" s="15">
        <f t="shared" si="49"/>
        <v>127.11</v>
      </c>
      <c r="CC43" s="156">
        <f t="shared" si="50"/>
        <v>1235.63</v>
      </c>
      <c r="CD43" s="154"/>
      <c r="CE43" s="151"/>
      <c r="CF43" s="161"/>
      <c r="CG43" s="155"/>
      <c r="CH43" s="15"/>
      <c r="CI43" s="151"/>
      <c r="CJ43" s="161"/>
      <c r="CK43" s="155"/>
      <c r="CL43" s="15"/>
      <c r="CM43" s="156"/>
      <c r="CN43" s="154"/>
      <c r="CO43" s="151"/>
      <c r="CP43" s="161"/>
      <c r="CQ43" s="152"/>
      <c r="CR43" s="15"/>
      <c r="CS43" s="151"/>
      <c r="CT43" s="161"/>
      <c r="CU43" s="152"/>
      <c r="CV43" s="15"/>
      <c r="CW43" s="156"/>
      <c r="CX43" s="154"/>
      <c r="CY43" s="151"/>
      <c r="CZ43" s="161"/>
      <c r="DA43" s="152"/>
      <c r="DB43" s="157"/>
      <c r="DC43" s="151"/>
      <c r="DD43" s="161"/>
      <c r="DE43" s="152"/>
      <c r="DF43" s="157"/>
      <c r="DG43" s="158"/>
      <c r="DH43" s="154"/>
      <c r="DI43" s="151"/>
      <c r="DJ43" s="152"/>
      <c r="DK43" s="152"/>
      <c r="DL43" s="157"/>
      <c r="DM43" s="151"/>
      <c r="DN43" s="152"/>
      <c r="DO43" s="152"/>
      <c r="DP43" s="157"/>
      <c r="DQ43" s="156"/>
      <c r="DR43" s="156"/>
      <c r="DS43" s="159"/>
      <c r="DT43" s="160"/>
      <c r="DU43" s="34"/>
    </row>
    <row r="44" ht="12.75" customHeight="1">
      <c r="A44" s="48" t="s">
        <v>163</v>
      </c>
      <c r="B44" s="36" t="s">
        <v>164</v>
      </c>
      <c r="C44" s="151">
        <v>4.08</v>
      </c>
      <c r="D44" s="161">
        <v>16445.0</v>
      </c>
      <c r="E44" s="152">
        <f>D44-16184</f>
        <v>261</v>
      </c>
      <c r="F44" s="15">
        <f t="shared" si="1"/>
        <v>1064.88</v>
      </c>
      <c r="G44" s="151">
        <v>2.06</v>
      </c>
      <c r="H44" s="161">
        <v>6023.0</v>
      </c>
      <c r="I44" s="152">
        <f>H44-5918</f>
        <v>105</v>
      </c>
      <c r="J44" s="15">
        <f t="shared" si="2"/>
        <v>216.3</v>
      </c>
      <c r="K44" s="153">
        <f t="shared" si="3"/>
        <v>1281.18</v>
      </c>
      <c r="L44" s="154">
        <v>1281.0</v>
      </c>
      <c r="M44" s="151">
        <v>4.08</v>
      </c>
      <c r="N44" s="161">
        <v>16669.0</v>
      </c>
      <c r="O44" s="155">
        <f t="shared" si="5"/>
        <v>224</v>
      </c>
      <c r="P44" s="15">
        <f t="shared" si="6"/>
        <v>913.92</v>
      </c>
      <c r="Q44" s="151">
        <v>2.06</v>
      </c>
      <c r="R44" s="161">
        <v>6112.0</v>
      </c>
      <c r="S44" s="155">
        <f t="shared" si="8"/>
        <v>89</v>
      </c>
      <c r="T44" s="15">
        <f t="shared" si="9"/>
        <v>183.34</v>
      </c>
      <c r="U44" s="153">
        <f t="shared" si="10"/>
        <v>1097.26</v>
      </c>
      <c r="V44" s="154">
        <v>1097.0</v>
      </c>
      <c r="W44" s="151">
        <v>4.08</v>
      </c>
      <c r="X44" s="161">
        <v>17031.0</v>
      </c>
      <c r="Y44" s="152">
        <f t="shared" si="12"/>
        <v>362</v>
      </c>
      <c r="Z44" s="15">
        <f t="shared" si="13"/>
        <v>1476.96</v>
      </c>
      <c r="AA44" s="151">
        <v>2.06</v>
      </c>
      <c r="AB44" s="161">
        <v>6246.0</v>
      </c>
      <c r="AC44" s="152">
        <f t="shared" si="15"/>
        <v>134</v>
      </c>
      <c r="AD44" s="15">
        <f t="shared" si="16"/>
        <v>276.04</v>
      </c>
      <c r="AE44" s="153">
        <f t="shared" si="17"/>
        <v>1753</v>
      </c>
      <c r="AF44" s="154">
        <v>1753.0</v>
      </c>
      <c r="AG44" s="151">
        <v>4.08</v>
      </c>
      <c r="AH44" s="161">
        <v>17229.0</v>
      </c>
      <c r="AI44" s="155">
        <f t="shared" si="19"/>
        <v>198</v>
      </c>
      <c r="AJ44" s="15">
        <f t="shared" si="51"/>
        <v>807.84</v>
      </c>
      <c r="AK44" s="151">
        <v>2.06</v>
      </c>
      <c r="AL44" s="161">
        <v>6339.0</v>
      </c>
      <c r="AM44" s="155">
        <f t="shared" si="21"/>
        <v>93</v>
      </c>
      <c r="AN44" s="15">
        <f t="shared" si="52"/>
        <v>191.58</v>
      </c>
      <c r="AO44" s="156">
        <f t="shared" si="22"/>
        <v>999.42</v>
      </c>
      <c r="AP44" s="154">
        <v>999.0</v>
      </c>
      <c r="AQ44" s="151">
        <v>4.08</v>
      </c>
      <c r="AR44" s="161">
        <v>17494.0</v>
      </c>
      <c r="AS44" s="152">
        <f t="shared" si="24"/>
        <v>265</v>
      </c>
      <c r="AT44" s="15">
        <f t="shared" si="25"/>
        <v>1081.2</v>
      </c>
      <c r="AU44" s="151">
        <v>2.06</v>
      </c>
      <c r="AV44" s="161">
        <v>6431.0</v>
      </c>
      <c r="AW44" s="152">
        <f t="shared" si="27"/>
        <v>92</v>
      </c>
      <c r="AX44" s="15">
        <f t="shared" si="28"/>
        <v>189.52</v>
      </c>
      <c r="AY44" s="156">
        <f t="shared" si="29"/>
        <v>1270.72</v>
      </c>
      <c r="AZ44" s="44">
        <v>1271.0</v>
      </c>
      <c r="BA44" s="151">
        <v>4.08</v>
      </c>
      <c r="BB44" s="161">
        <v>17743.0</v>
      </c>
      <c r="BC44" s="152">
        <f t="shared" si="31"/>
        <v>249</v>
      </c>
      <c r="BD44" s="15">
        <f t="shared" si="32"/>
        <v>1015.92</v>
      </c>
      <c r="BE44" s="151">
        <v>2.06</v>
      </c>
      <c r="BF44" s="161">
        <v>6495.0</v>
      </c>
      <c r="BG44" s="152">
        <f t="shared" si="34"/>
        <v>64</v>
      </c>
      <c r="BH44" s="15">
        <f t="shared" si="35"/>
        <v>131.84</v>
      </c>
      <c r="BI44" s="156">
        <f t="shared" si="36"/>
        <v>1147.76</v>
      </c>
      <c r="BJ44" s="197">
        <f>2000+241-1271</f>
        <v>970</v>
      </c>
      <c r="BK44" s="151">
        <v>4.28</v>
      </c>
      <c r="BL44" s="161">
        <v>18038.0</v>
      </c>
      <c r="BM44" s="152">
        <f t="shared" si="38"/>
        <v>295</v>
      </c>
      <c r="BN44" s="15">
        <f t="shared" si="39"/>
        <v>1262.6</v>
      </c>
      <c r="BO44" s="151">
        <v>2.23</v>
      </c>
      <c r="BP44" s="161">
        <v>6573.0</v>
      </c>
      <c r="BQ44" s="152">
        <f t="shared" si="41"/>
        <v>78</v>
      </c>
      <c r="BR44" s="15">
        <f t="shared" si="42"/>
        <v>173.94</v>
      </c>
      <c r="BS44" s="156">
        <f t="shared" si="43"/>
        <v>1436.54</v>
      </c>
      <c r="BT44" s="156"/>
      <c r="BU44" s="151">
        <v>4.28</v>
      </c>
      <c r="BV44" s="161">
        <v>18284.0</v>
      </c>
      <c r="BW44" s="152">
        <f t="shared" si="45"/>
        <v>246</v>
      </c>
      <c r="BX44" s="15">
        <f t="shared" si="46"/>
        <v>1052.88</v>
      </c>
      <c r="BY44" s="151">
        <v>2.23</v>
      </c>
      <c r="BZ44" s="161">
        <v>6662.0</v>
      </c>
      <c r="CA44" s="152">
        <f t="shared" si="48"/>
        <v>89</v>
      </c>
      <c r="CB44" s="15">
        <f t="shared" si="49"/>
        <v>198.47</v>
      </c>
      <c r="CC44" s="156">
        <f t="shared" si="50"/>
        <v>1251.35</v>
      </c>
      <c r="CD44" s="156"/>
      <c r="CE44" s="151"/>
      <c r="CF44" s="161"/>
      <c r="CG44" s="155"/>
      <c r="CH44" s="15"/>
      <c r="CI44" s="151"/>
      <c r="CJ44" s="161"/>
      <c r="CK44" s="155"/>
      <c r="CL44" s="15"/>
      <c r="CM44" s="156"/>
      <c r="CN44" s="154"/>
      <c r="CO44" s="151"/>
      <c r="CP44" s="161"/>
      <c r="CQ44" s="152"/>
      <c r="CR44" s="15"/>
      <c r="CS44" s="151"/>
      <c r="CT44" s="161"/>
      <c r="CU44" s="152"/>
      <c r="CV44" s="15"/>
      <c r="CW44" s="156"/>
      <c r="CX44" s="154"/>
      <c r="CY44" s="151"/>
      <c r="CZ44" s="161"/>
      <c r="DA44" s="152"/>
      <c r="DB44" s="157"/>
      <c r="DC44" s="151"/>
      <c r="DD44" s="161"/>
      <c r="DE44" s="152"/>
      <c r="DF44" s="157"/>
      <c r="DG44" s="158"/>
      <c r="DH44" s="154"/>
      <c r="DI44" s="151"/>
      <c r="DJ44" s="152"/>
      <c r="DK44" s="152"/>
      <c r="DL44" s="157"/>
      <c r="DM44" s="151"/>
      <c r="DN44" s="152"/>
      <c r="DO44" s="152"/>
      <c r="DP44" s="157"/>
      <c r="DQ44" s="156"/>
      <c r="DR44" s="156"/>
      <c r="DS44" s="159"/>
      <c r="DT44" s="160"/>
      <c r="DU44" s="34"/>
    </row>
    <row r="45" ht="13.5" customHeight="1">
      <c r="A45" s="119" t="s">
        <v>165</v>
      </c>
      <c r="B45" s="198" t="s">
        <v>166</v>
      </c>
      <c r="C45" s="151">
        <v>4.08</v>
      </c>
      <c r="D45" s="161">
        <v>11914.0</v>
      </c>
      <c r="E45" s="152">
        <f>D45-11014</f>
        <v>900</v>
      </c>
      <c r="F45" s="15">
        <f t="shared" si="1"/>
        <v>3672</v>
      </c>
      <c r="G45" s="151">
        <v>2.06</v>
      </c>
      <c r="H45" s="161">
        <v>5473.0</v>
      </c>
      <c r="I45" s="152">
        <f>H45-5068</f>
        <v>405</v>
      </c>
      <c r="J45" s="15">
        <f t="shared" si="2"/>
        <v>834.3</v>
      </c>
      <c r="K45" s="153">
        <f t="shared" si="3"/>
        <v>4506.3</v>
      </c>
      <c r="L45" s="154">
        <v>4506.0</v>
      </c>
      <c r="M45" s="151">
        <v>4.08</v>
      </c>
      <c r="N45" s="161">
        <v>12869.0</v>
      </c>
      <c r="O45" s="155">
        <f t="shared" si="5"/>
        <v>955</v>
      </c>
      <c r="P45" s="15">
        <f t="shared" si="6"/>
        <v>3896.4</v>
      </c>
      <c r="Q45" s="151">
        <v>2.06</v>
      </c>
      <c r="R45" s="161">
        <v>5987.0</v>
      </c>
      <c r="S45" s="155">
        <f t="shared" si="8"/>
        <v>514</v>
      </c>
      <c r="T45" s="15">
        <f t="shared" si="9"/>
        <v>1058.84</v>
      </c>
      <c r="U45" s="153">
        <f t="shared" si="10"/>
        <v>4955.24</v>
      </c>
      <c r="V45" s="154">
        <v>4955.0</v>
      </c>
      <c r="W45" s="151">
        <v>4.08</v>
      </c>
      <c r="X45" s="161">
        <v>13908.0</v>
      </c>
      <c r="Y45" s="152">
        <f t="shared" si="12"/>
        <v>1039</v>
      </c>
      <c r="Z45" s="15">
        <f t="shared" si="13"/>
        <v>4239.12</v>
      </c>
      <c r="AA45" s="151">
        <v>2.06</v>
      </c>
      <c r="AB45" s="161">
        <v>6714.0</v>
      </c>
      <c r="AC45" s="152">
        <f t="shared" si="15"/>
        <v>727</v>
      </c>
      <c r="AD45" s="15">
        <f t="shared" si="16"/>
        <v>1497.62</v>
      </c>
      <c r="AE45" s="153">
        <f t="shared" si="17"/>
        <v>5736.74</v>
      </c>
      <c r="AF45" s="154">
        <v>5737.0</v>
      </c>
      <c r="AG45" s="151">
        <v>4.08</v>
      </c>
      <c r="AH45" s="161">
        <v>14415.0</v>
      </c>
      <c r="AI45" s="155">
        <f t="shared" si="19"/>
        <v>507</v>
      </c>
      <c r="AJ45" s="15">
        <f t="shared" si="51"/>
        <v>2068.56</v>
      </c>
      <c r="AK45" s="151">
        <v>2.06</v>
      </c>
      <c r="AL45" s="161">
        <v>7036.0</v>
      </c>
      <c r="AM45" s="155">
        <f t="shared" si="21"/>
        <v>322</v>
      </c>
      <c r="AN45" s="15">
        <f t="shared" si="52"/>
        <v>663.32</v>
      </c>
      <c r="AO45" s="156">
        <f t="shared" si="22"/>
        <v>2731.88</v>
      </c>
      <c r="AP45" s="154">
        <v>2732.0</v>
      </c>
      <c r="AQ45" s="151">
        <v>4.08</v>
      </c>
      <c r="AR45" s="161">
        <v>14892.0</v>
      </c>
      <c r="AS45" s="152">
        <f t="shared" si="24"/>
        <v>477</v>
      </c>
      <c r="AT45" s="15">
        <f t="shared" si="25"/>
        <v>1946.16</v>
      </c>
      <c r="AU45" s="151">
        <v>2.06</v>
      </c>
      <c r="AV45" s="161">
        <v>7237.0</v>
      </c>
      <c r="AW45" s="152">
        <f t="shared" si="27"/>
        <v>201</v>
      </c>
      <c r="AX45" s="15">
        <f t="shared" si="28"/>
        <v>414.06</v>
      </c>
      <c r="AY45" s="156">
        <f t="shared" si="29"/>
        <v>2360.22</v>
      </c>
      <c r="AZ45" s="154">
        <v>2360.0</v>
      </c>
      <c r="BA45" s="151">
        <v>4.08</v>
      </c>
      <c r="BB45" s="161">
        <v>15149.0</v>
      </c>
      <c r="BC45" s="152">
        <f t="shared" si="31"/>
        <v>257</v>
      </c>
      <c r="BD45" s="15">
        <f t="shared" si="32"/>
        <v>1048.56</v>
      </c>
      <c r="BE45" s="151">
        <v>2.06</v>
      </c>
      <c r="BF45" s="161">
        <v>7315.0</v>
      </c>
      <c r="BG45" s="152">
        <f t="shared" si="34"/>
        <v>78</v>
      </c>
      <c r="BH45" s="15">
        <f t="shared" si="35"/>
        <v>160.68</v>
      </c>
      <c r="BI45" s="156">
        <f t="shared" si="36"/>
        <v>1209.24</v>
      </c>
      <c r="BJ45" s="154">
        <v>1209.0</v>
      </c>
      <c r="BK45" s="151">
        <v>4.28</v>
      </c>
      <c r="BL45" s="161">
        <v>15390.0</v>
      </c>
      <c r="BM45" s="152">
        <f t="shared" si="38"/>
        <v>241</v>
      </c>
      <c r="BN45" s="15">
        <f t="shared" si="39"/>
        <v>1031.48</v>
      </c>
      <c r="BO45" s="151">
        <v>2.23</v>
      </c>
      <c r="BP45" s="161">
        <v>7403.0</v>
      </c>
      <c r="BQ45" s="152">
        <f t="shared" si="41"/>
        <v>88</v>
      </c>
      <c r="BR45" s="15">
        <f t="shared" si="42"/>
        <v>196.24</v>
      </c>
      <c r="BS45" s="156">
        <f t="shared" si="43"/>
        <v>1227.72</v>
      </c>
      <c r="BT45" s="167">
        <v>162.0</v>
      </c>
      <c r="BU45" s="151">
        <v>4.28</v>
      </c>
      <c r="BV45" s="161">
        <v>15673.0</v>
      </c>
      <c r="BW45" s="152">
        <f t="shared" si="45"/>
        <v>283</v>
      </c>
      <c r="BX45" s="15">
        <f t="shared" si="46"/>
        <v>1211.24</v>
      </c>
      <c r="BY45" s="151">
        <v>2.23</v>
      </c>
      <c r="BZ45" s="161">
        <v>7493.0</v>
      </c>
      <c r="CA45" s="152">
        <f t="shared" si="48"/>
        <v>90</v>
      </c>
      <c r="CB45" s="15">
        <f t="shared" si="49"/>
        <v>200.7</v>
      </c>
      <c r="CC45" s="156">
        <f t="shared" si="50"/>
        <v>1411.94</v>
      </c>
      <c r="CD45" s="154"/>
      <c r="CE45" s="151"/>
      <c r="CF45" s="161"/>
      <c r="CG45" s="155"/>
      <c r="CH45" s="15"/>
      <c r="CI45" s="151"/>
      <c r="CJ45" s="161"/>
      <c r="CK45" s="155"/>
      <c r="CL45" s="15"/>
      <c r="CM45" s="156"/>
      <c r="CN45" s="154"/>
      <c r="CO45" s="151"/>
      <c r="CP45" s="161"/>
      <c r="CQ45" s="152"/>
      <c r="CR45" s="15"/>
      <c r="CS45" s="151"/>
      <c r="CT45" s="161"/>
      <c r="CU45" s="152"/>
      <c r="CV45" s="15"/>
      <c r="CW45" s="156"/>
      <c r="CX45" s="154"/>
      <c r="CY45" s="151"/>
      <c r="CZ45" s="161"/>
      <c r="DA45" s="152"/>
      <c r="DB45" s="157"/>
      <c r="DC45" s="151"/>
      <c r="DD45" s="161"/>
      <c r="DE45" s="152"/>
      <c r="DF45" s="157"/>
      <c r="DG45" s="158"/>
      <c r="DH45" s="154"/>
      <c r="DI45" s="151"/>
      <c r="DJ45" s="152"/>
      <c r="DK45" s="152"/>
      <c r="DL45" s="157"/>
      <c r="DM45" s="151"/>
      <c r="DN45" s="152"/>
      <c r="DO45" s="152"/>
      <c r="DP45" s="157"/>
      <c r="DQ45" s="156"/>
      <c r="DR45" s="156"/>
      <c r="DS45" s="159"/>
      <c r="DT45" s="160"/>
      <c r="DU45" s="34"/>
    </row>
    <row r="46" ht="13.5" customHeight="1">
      <c r="A46" s="127"/>
      <c r="B46" s="56" t="s">
        <v>67</v>
      </c>
      <c r="C46" s="94"/>
      <c r="D46" s="199"/>
      <c r="E46" s="199">
        <f t="shared" ref="E46:F46" si="53">SUM(E5:E45)</f>
        <v>44763</v>
      </c>
      <c r="F46" s="200">
        <f t="shared" si="53"/>
        <v>182633.04</v>
      </c>
      <c r="G46" s="94"/>
      <c r="H46" s="199"/>
      <c r="I46" s="199">
        <f t="shared" ref="I46:L46" si="54">SUM(I5:I45)</f>
        <v>20520</v>
      </c>
      <c r="J46" s="200">
        <f t="shared" si="54"/>
        <v>42271.2</v>
      </c>
      <c r="K46" s="201">
        <f t="shared" si="54"/>
        <v>224904.24</v>
      </c>
      <c r="L46" s="202">
        <f t="shared" si="54"/>
        <v>222825</v>
      </c>
      <c r="M46" s="94"/>
      <c r="N46" s="199"/>
      <c r="O46" s="199">
        <f t="shared" ref="O46:P46" si="55">SUM(O5:O45)</f>
        <v>40646</v>
      </c>
      <c r="P46" s="95">
        <f t="shared" si="55"/>
        <v>165835.68</v>
      </c>
      <c r="Q46" s="199"/>
      <c r="R46" s="199"/>
      <c r="S46" s="199">
        <f t="shared" ref="S46:V46" si="56">SUM(S5:S45)</f>
        <v>19766</v>
      </c>
      <c r="T46" s="95">
        <f t="shared" si="56"/>
        <v>40717.96</v>
      </c>
      <c r="U46" s="203">
        <f t="shared" si="56"/>
        <v>206553.64</v>
      </c>
      <c r="V46" s="204">
        <f t="shared" si="56"/>
        <v>198328</v>
      </c>
      <c r="W46" s="94"/>
      <c r="X46" s="199"/>
      <c r="Y46" s="199">
        <f t="shared" ref="Y46:Z46" si="57">SUM(Y5:Y45)</f>
        <v>45821</v>
      </c>
      <c r="Z46" s="95">
        <f t="shared" si="57"/>
        <v>186949.68</v>
      </c>
      <c r="AA46" s="199"/>
      <c r="AB46" s="199"/>
      <c r="AC46" s="199">
        <f t="shared" ref="AC46:AF46" si="58">SUM(AC5:AC45)</f>
        <v>22442</v>
      </c>
      <c r="AD46" s="205">
        <f t="shared" si="58"/>
        <v>46230.52</v>
      </c>
      <c r="AE46" s="206">
        <f t="shared" si="58"/>
        <v>233180.2</v>
      </c>
      <c r="AF46" s="207">
        <f t="shared" si="58"/>
        <v>220265</v>
      </c>
      <c r="AG46" s="208" t="s">
        <v>18</v>
      </c>
      <c r="AH46" s="199" t="s">
        <v>18</v>
      </c>
      <c r="AI46" s="199">
        <f t="shared" ref="AI46:AJ46" si="59">SUM(AI5:AI45)</f>
        <v>21429</v>
      </c>
      <c r="AJ46" s="95">
        <f t="shared" si="59"/>
        <v>87430.32</v>
      </c>
      <c r="AK46" s="95" t="s">
        <v>18</v>
      </c>
      <c r="AL46" s="199"/>
      <c r="AM46" s="199">
        <f t="shared" ref="AM46:AP46" si="60">SUM(AM5:AM45)</f>
        <v>10679</v>
      </c>
      <c r="AN46" s="205">
        <f t="shared" si="60"/>
        <v>21998.74</v>
      </c>
      <c r="AO46" s="206">
        <f t="shared" si="60"/>
        <v>109429.06</v>
      </c>
      <c r="AP46" s="202">
        <f t="shared" si="60"/>
        <v>99398</v>
      </c>
      <c r="AQ46" s="208" t="s">
        <v>18</v>
      </c>
      <c r="AR46" s="199" t="s">
        <v>18</v>
      </c>
      <c r="AS46" s="199">
        <f t="shared" ref="AS46:AT46" si="61">SUM(AS5:AS45)</f>
        <v>14310</v>
      </c>
      <c r="AT46" s="95">
        <f t="shared" si="61"/>
        <v>58384.8</v>
      </c>
      <c r="AU46" s="95" t="s">
        <v>18</v>
      </c>
      <c r="AV46" s="199"/>
      <c r="AW46" s="199">
        <f>SUM(AW5:AW45)</f>
        <v>6893</v>
      </c>
      <c r="AX46" s="205" t="s">
        <v>18</v>
      </c>
      <c r="AY46" s="206">
        <f t="shared" ref="AY46:AZ46" si="62">SUM(AY5:AY45)</f>
        <v>72584.38</v>
      </c>
      <c r="AZ46" s="202">
        <f t="shared" si="62"/>
        <v>66138</v>
      </c>
      <c r="BA46" s="208" t="s">
        <v>18</v>
      </c>
      <c r="BB46" s="199" t="s">
        <v>18</v>
      </c>
      <c r="BC46" s="199">
        <f t="shared" ref="BC46:BD46" si="63">SUM(BC5:BC45)</f>
        <v>12386</v>
      </c>
      <c r="BD46" s="95">
        <f t="shared" si="63"/>
        <v>50534.88</v>
      </c>
      <c r="BE46" s="95" t="s">
        <v>18</v>
      </c>
      <c r="BF46" s="199"/>
      <c r="BG46" s="199">
        <f t="shared" ref="BG46:BJ46" si="64">SUM(BG5:BG45)</f>
        <v>5168</v>
      </c>
      <c r="BH46" s="205">
        <f t="shared" si="64"/>
        <v>10646.08</v>
      </c>
      <c r="BI46" s="206">
        <f t="shared" si="64"/>
        <v>61180.96</v>
      </c>
      <c r="BJ46" s="202">
        <f t="shared" si="64"/>
        <v>56208</v>
      </c>
      <c r="BK46" s="208" t="s">
        <v>18</v>
      </c>
      <c r="BL46" s="199" t="s">
        <v>18</v>
      </c>
      <c r="BM46" s="199">
        <f t="shared" ref="BM46:BN46" si="65">SUM(BM5:BM45)</f>
        <v>11728</v>
      </c>
      <c r="BN46" s="95">
        <f t="shared" si="65"/>
        <v>50195.84</v>
      </c>
      <c r="BO46" s="95" t="s">
        <v>18</v>
      </c>
      <c r="BP46" s="199"/>
      <c r="BQ46" s="199">
        <f t="shared" ref="BQ46:BT46" si="66">SUM(BQ5:BQ45)</f>
        <v>4315</v>
      </c>
      <c r="BR46" s="205">
        <f t="shared" si="66"/>
        <v>9622.45</v>
      </c>
      <c r="BS46" s="206">
        <f t="shared" si="66"/>
        <v>59818.29</v>
      </c>
      <c r="BT46" s="202">
        <f t="shared" si="66"/>
        <v>50828</v>
      </c>
      <c r="BU46" s="208" t="s">
        <v>18</v>
      </c>
      <c r="BV46" s="199" t="s">
        <v>18</v>
      </c>
      <c r="BW46" s="199">
        <f t="shared" ref="BW46:BX46" si="67">SUM(BW5:BW45)</f>
        <v>10425</v>
      </c>
      <c r="BX46" s="95">
        <f t="shared" si="67"/>
        <v>44619</v>
      </c>
      <c r="BY46" s="95" t="s">
        <v>18</v>
      </c>
      <c r="BZ46" s="199"/>
      <c r="CA46" s="199">
        <f t="shared" ref="CA46:CD46" si="68">SUM(CA5:CA45)</f>
        <v>4034</v>
      </c>
      <c r="CB46" s="205">
        <f t="shared" si="68"/>
        <v>8995.82</v>
      </c>
      <c r="CC46" s="206">
        <f t="shared" si="68"/>
        <v>53614.82</v>
      </c>
      <c r="CD46" s="202">
        <f t="shared" si="68"/>
        <v>8914</v>
      </c>
      <c r="CE46" s="208"/>
      <c r="CF46" s="199"/>
      <c r="CG46" s="199"/>
      <c r="CH46" s="95"/>
      <c r="CI46" s="209"/>
      <c r="CJ46" s="210"/>
      <c r="CK46" s="199"/>
      <c r="CL46" s="205"/>
      <c r="CM46" s="206"/>
      <c r="CN46" s="202"/>
      <c r="CO46" s="208"/>
      <c r="CP46" s="199"/>
      <c r="CQ46" s="199"/>
      <c r="CR46" s="95"/>
      <c r="CS46" s="95"/>
      <c r="CT46" s="199"/>
      <c r="CU46" s="199"/>
      <c r="CV46" s="205"/>
      <c r="CW46" s="206"/>
      <c r="CX46" s="202"/>
      <c r="CY46" s="94"/>
      <c r="CZ46" s="199"/>
      <c r="DA46" s="199"/>
      <c r="DB46" s="200"/>
      <c r="DC46" s="94"/>
      <c r="DD46" s="199"/>
      <c r="DE46" s="199"/>
      <c r="DF46" s="200"/>
      <c r="DG46" s="206"/>
      <c r="DH46" s="207"/>
      <c r="DI46" s="94"/>
      <c r="DJ46" s="199"/>
      <c r="DK46" s="199"/>
      <c r="DL46" s="200"/>
      <c r="DM46" s="94"/>
      <c r="DN46" s="199"/>
      <c r="DO46" s="199"/>
      <c r="DP46" s="200"/>
      <c r="DQ46" s="207"/>
      <c r="DR46" s="207"/>
      <c r="DS46" s="211"/>
      <c r="DT46" s="212"/>
      <c r="DU46" s="34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34" t="s">
        <v>18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213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2"/>
      <c r="W48" s="4"/>
      <c r="X48" s="2"/>
      <c r="Y48" s="4"/>
      <c r="Z48" s="4"/>
      <c r="AA48" s="4"/>
      <c r="AB48" s="2"/>
      <c r="AC48" s="4"/>
      <c r="AD48" s="4"/>
      <c r="AE48" s="4"/>
      <c r="AF48" s="2"/>
      <c r="AG48" s="4"/>
      <c r="AH48" s="2"/>
      <c r="AI48" s="4"/>
      <c r="AJ48" s="4"/>
      <c r="AK48" s="4"/>
      <c r="AL48" s="2"/>
      <c r="AM48" s="4"/>
      <c r="AN48" s="4"/>
      <c r="AO48" s="4"/>
      <c r="AP48" s="2"/>
      <c r="AQ48" s="4"/>
      <c r="AR48" s="2"/>
      <c r="AS48" s="4"/>
      <c r="AT48" s="4"/>
      <c r="AU48" s="4"/>
      <c r="AV48" s="2"/>
      <c r="AW48" s="4"/>
      <c r="AX48" s="4"/>
      <c r="AY48" s="4"/>
      <c r="AZ48" s="2"/>
      <c r="BA48" s="4"/>
      <c r="BB48" s="2"/>
      <c r="BC48" s="4"/>
      <c r="BD48" s="4"/>
      <c r="BE48" s="4"/>
      <c r="BF48" s="4"/>
      <c r="BG48" s="4"/>
      <c r="BH48" s="4"/>
      <c r="BI48" s="4"/>
      <c r="BJ48" s="4"/>
      <c r="BK48" s="2"/>
      <c r="BL48" s="2"/>
      <c r="BM48" s="2"/>
      <c r="BN48" s="4"/>
      <c r="BO48" s="2"/>
      <c r="BP48" s="2"/>
      <c r="BQ48" s="2"/>
      <c r="BR48" s="4"/>
      <c r="BS48" s="4"/>
      <c r="BT48" s="4"/>
      <c r="BU48" s="4"/>
      <c r="BV48" s="2"/>
      <c r="BW48" s="2"/>
      <c r="BX48" s="4"/>
      <c r="BY48" s="4"/>
      <c r="BZ48" s="2"/>
      <c r="CA48" s="2"/>
      <c r="CB48" s="4"/>
      <c r="CC48" s="4"/>
      <c r="CD48" s="2"/>
      <c r="CE48" s="2"/>
      <c r="CF48" s="2"/>
      <c r="CG48" s="2"/>
      <c r="CH48" s="4"/>
      <c r="CI48" s="214"/>
      <c r="CJ48" s="2"/>
      <c r="CK48" s="2"/>
      <c r="CL48" s="4"/>
      <c r="CM48" s="4"/>
      <c r="CN48" s="2"/>
      <c r="CO48" s="2"/>
      <c r="CP48" s="2"/>
      <c r="CQ48" s="2"/>
      <c r="CR48" s="4"/>
      <c r="CS48" s="2"/>
      <c r="CT48" s="2"/>
      <c r="CU48" s="2"/>
      <c r="CV48" s="4"/>
      <c r="CW48" s="4"/>
      <c r="CX48" s="2"/>
      <c r="CY48" s="2"/>
      <c r="CZ48" s="2"/>
      <c r="DA48" s="2"/>
      <c r="DB48" s="2"/>
      <c r="DC48" s="2"/>
      <c r="DD48" s="2"/>
      <c r="DE48" s="2"/>
      <c r="DF48" s="2"/>
      <c r="DG48" s="4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4"/>
      <c r="DT48" s="4"/>
      <c r="DU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2"/>
      <c r="W49" s="4"/>
      <c r="X49" s="2"/>
      <c r="Y49" s="4"/>
      <c r="Z49" s="4"/>
      <c r="AA49" s="4"/>
      <c r="AB49" s="2"/>
      <c r="AC49" s="4"/>
      <c r="AD49" s="4"/>
      <c r="AE49" s="4"/>
      <c r="AF49" s="2"/>
      <c r="AG49" s="4"/>
      <c r="AH49" s="2"/>
      <c r="AI49" s="4"/>
      <c r="AJ49" s="4"/>
      <c r="AK49" s="4"/>
      <c r="AL49" s="2"/>
      <c r="AM49" s="4"/>
      <c r="AN49" s="4"/>
      <c r="AO49" s="4"/>
      <c r="AP49" s="2"/>
      <c r="AQ49" s="4"/>
      <c r="AR49" s="2"/>
      <c r="AS49" s="4"/>
      <c r="AT49" s="4"/>
      <c r="AU49" s="4"/>
      <c r="AV49" s="2"/>
      <c r="AW49" s="4"/>
      <c r="AX49" s="4"/>
      <c r="AY49" s="4"/>
      <c r="AZ49" s="2"/>
      <c r="BA49" s="4"/>
      <c r="BB49" s="2"/>
      <c r="BC49" s="4"/>
      <c r="BD49" s="4"/>
      <c r="BE49" s="4"/>
      <c r="BF49" s="4"/>
      <c r="BG49" s="4"/>
      <c r="BH49" s="4"/>
      <c r="BI49" s="4"/>
      <c r="BJ49" s="4"/>
      <c r="BK49" s="2"/>
      <c r="BL49" s="2"/>
      <c r="BM49" s="2"/>
      <c r="BN49" s="4"/>
      <c r="BO49" s="2"/>
      <c r="BP49" s="2"/>
      <c r="BQ49" s="2"/>
      <c r="BR49" s="4"/>
      <c r="BS49" s="4"/>
      <c r="BT49" s="4"/>
      <c r="BU49" s="4"/>
      <c r="BV49" s="2"/>
      <c r="BW49" s="2"/>
      <c r="BX49" s="4"/>
      <c r="BY49" s="4"/>
      <c r="BZ49" s="2"/>
      <c r="CA49" s="2"/>
      <c r="CB49" s="4"/>
      <c r="CC49" s="4"/>
      <c r="CD49" s="2"/>
      <c r="CE49" s="2"/>
      <c r="CF49" s="2"/>
      <c r="CG49" s="2"/>
      <c r="CH49" s="4"/>
      <c r="CI49" s="2"/>
      <c r="CJ49" s="2"/>
      <c r="CK49" s="2"/>
      <c r="CL49" s="4"/>
      <c r="CM49" s="4"/>
      <c r="CN49" s="2"/>
      <c r="CO49" s="2"/>
      <c r="CP49" s="2"/>
      <c r="CQ49" s="2"/>
      <c r="CR49" s="4"/>
      <c r="CS49" s="2"/>
      <c r="CT49" s="2"/>
      <c r="CU49" s="2"/>
      <c r="CV49" s="4"/>
      <c r="CW49" s="4"/>
      <c r="CX49" s="2"/>
      <c r="CY49" s="2"/>
      <c r="CZ49" s="2"/>
      <c r="DA49" s="2"/>
      <c r="DB49" s="2"/>
      <c r="DC49" s="2"/>
      <c r="DD49" s="2"/>
      <c r="DE49" s="2"/>
      <c r="DF49" s="2"/>
      <c r="DG49" s="4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4"/>
      <c r="DT49" s="4"/>
      <c r="DU49" s="4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</row>
  </sheetData>
  <mergeCells count="38">
    <mergeCell ref="BU2:CD2"/>
    <mergeCell ref="CE2:CN2"/>
    <mergeCell ref="M2:V2"/>
    <mergeCell ref="C2:L2"/>
    <mergeCell ref="CY2:DH2"/>
    <mergeCell ref="CO2:CX2"/>
    <mergeCell ref="DI2:DR2"/>
    <mergeCell ref="DS2:DT2"/>
    <mergeCell ref="BK2:BT2"/>
    <mergeCell ref="AA3:AD3"/>
    <mergeCell ref="G3:J3"/>
    <mergeCell ref="M3:P3"/>
    <mergeCell ref="C3:F3"/>
    <mergeCell ref="W2:AF2"/>
    <mergeCell ref="W3:Z3"/>
    <mergeCell ref="AG2:AP2"/>
    <mergeCell ref="Q3:T3"/>
    <mergeCell ref="BA2:BJ2"/>
    <mergeCell ref="AQ2:AZ2"/>
    <mergeCell ref="BA3:BD3"/>
    <mergeCell ref="BE3:BH3"/>
    <mergeCell ref="DI3:DL3"/>
    <mergeCell ref="CY3:DB3"/>
    <mergeCell ref="DC3:DF3"/>
    <mergeCell ref="CS3:CV3"/>
    <mergeCell ref="CE3:CH3"/>
    <mergeCell ref="CI3:CL3"/>
    <mergeCell ref="CO3:CR3"/>
    <mergeCell ref="DM3:DP3"/>
    <mergeCell ref="DS3:DT3"/>
    <mergeCell ref="AG3:AJ3"/>
    <mergeCell ref="AK3:AN3"/>
    <mergeCell ref="AQ3:AT3"/>
    <mergeCell ref="AU3:AX3"/>
    <mergeCell ref="BK3:BN3"/>
    <mergeCell ref="BO3:BR3"/>
    <mergeCell ref="BY3:CB3"/>
    <mergeCell ref="BU3:BX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43"/>
    <col customWidth="1" min="2" max="2" width="36.14"/>
    <col customWidth="1" min="3" max="3" width="9.0"/>
    <col customWidth="1" min="4" max="4" width="9.86"/>
    <col customWidth="1" min="5" max="5" width="13.43"/>
    <col customWidth="1" min="6" max="6" width="11.43"/>
    <col customWidth="1" min="7" max="7" width="11.0"/>
    <col customWidth="1" min="8" max="8" width="9.0"/>
    <col customWidth="1" min="9" max="9" width="11.0"/>
    <col customWidth="1" min="10" max="10" width="11.29"/>
    <col customWidth="1" min="11" max="11" width="12.71"/>
    <col customWidth="1" min="12" max="12" width="11.57"/>
    <col customWidth="1" min="13" max="13" width="11.29"/>
    <col customWidth="1" min="14" max="14" width="10.0"/>
    <col customWidth="1" min="15" max="15" width="9.29"/>
    <col customWidth="1" min="16" max="16" width="10.0"/>
    <col customWidth="1" min="17" max="17" width="10.86"/>
    <col customWidth="1" min="18" max="18" width="11.29"/>
    <col customWidth="1" min="19" max="19" width="10.0"/>
    <col customWidth="1" min="20" max="20" width="8.0"/>
    <col customWidth="1" min="21" max="21" width="9.57"/>
    <col customWidth="1" min="22" max="22" width="11.0"/>
    <col customWidth="1" min="23" max="24" width="10.14"/>
    <col customWidth="1" min="25" max="25" width="9.86"/>
    <col customWidth="1" min="26" max="29" width="8.0"/>
    <col customWidth="1" min="30" max="30" width="11.14"/>
    <col customWidth="1" min="31" max="31" width="10.86"/>
    <col customWidth="1" min="32" max="32" width="8.0"/>
    <col customWidth="1" min="33" max="33" width="8.86"/>
    <col customWidth="1" min="34" max="34" width="8.0"/>
    <col customWidth="1" min="35" max="35" width="9.29"/>
    <col customWidth="1" min="36" max="36" width="10.71"/>
    <col customWidth="1" min="37" max="37" width="11.86"/>
    <col customWidth="1" min="38" max="42" width="8.0"/>
    <col customWidth="1" min="43" max="43" width="10.86"/>
    <col customWidth="1" min="44" max="44" width="11.0"/>
    <col customWidth="1" min="45" max="45" width="8.0"/>
    <col customWidth="1" min="46" max="46" width="8.57"/>
    <col customWidth="1" min="47" max="48" width="8.0"/>
    <col customWidth="1" min="49" max="49" width="10.0"/>
    <col customWidth="1" min="50" max="50" width="10.29"/>
    <col customWidth="1" min="51" max="55" width="8.0"/>
    <col customWidth="1" min="56" max="56" width="11.0"/>
    <col customWidth="1" min="57" max="57" width="11.29"/>
    <col customWidth="1" min="58" max="58" width="8.0"/>
    <col customWidth="1" min="59" max="59" width="9.14"/>
    <col customWidth="1" min="60" max="61" width="8.0"/>
    <col customWidth="1" min="62" max="62" width="11.57"/>
    <col customWidth="1" min="63" max="63" width="11.43"/>
    <col customWidth="1" min="64" max="68" width="8.0"/>
    <col customWidth="1" min="69" max="69" width="10.43"/>
    <col customWidth="1" min="70" max="70" width="10.57"/>
    <col customWidth="1" min="71" max="71" width="8.0"/>
    <col customWidth="1" min="72" max="72" width="9.0"/>
    <col customWidth="1" min="73" max="74" width="8.0"/>
    <col customWidth="1" min="75" max="75" width="10.86"/>
    <col customWidth="1" min="76" max="76" width="11.57"/>
    <col customWidth="1" min="77" max="81" width="8.0"/>
    <col customWidth="1" min="82" max="82" width="11.57"/>
    <col customWidth="1" min="83" max="83" width="11.86"/>
    <col customWidth="1" min="84" max="84" width="8.0"/>
    <col customWidth="1" min="85" max="85" width="8.71"/>
    <col customWidth="1" min="86" max="87" width="8.0"/>
    <col customWidth="1" min="88" max="88" width="11.29"/>
    <col customWidth="1" min="89" max="89" width="11.86"/>
    <col customWidth="1" min="90" max="94" width="8.0"/>
    <col customWidth="1" min="95" max="96" width="10.71"/>
    <col customWidth="1" min="97" max="100" width="8.0"/>
    <col customWidth="1" min="101" max="101" width="11.29"/>
    <col customWidth="1" min="102" max="102" width="11.86"/>
    <col customWidth="1" min="103" max="107" width="8.0"/>
    <col customWidth="1" min="108" max="108" width="10.29"/>
    <col customWidth="1" min="109" max="109" width="10.71"/>
    <col customWidth="1" min="110" max="113" width="8.0"/>
    <col customWidth="1" min="114" max="115" width="10.86"/>
    <col customWidth="1" min="116" max="120" width="8.0"/>
    <col customWidth="1" min="121" max="121" width="10.14"/>
    <col customWidth="1" min="122" max="122" width="10.86"/>
    <col customWidth="1" min="123" max="126" width="8.0"/>
    <col customWidth="1" min="127" max="127" width="11.29"/>
    <col customWidth="1" min="128" max="128" width="11.14"/>
    <col customWidth="1" min="129" max="129" width="13.86"/>
    <col customWidth="1" min="130" max="133" width="8.0"/>
    <col customWidth="1" min="134" max="134" width="10.29"/>
    <col customWidth="1" min="135" max="135" width="10.71"/>
    <col customWidth="1" min="136" max="138" width="8.0"/>
    <col customWidth="1" min="139" max="139" width="9.29"/>
    <col customWidth="1" min="140" max="140" width="11.14"/>
    <col customWidth="1" min="141" max="141" width="11.57"/>
    <col customWidth="1" min="142" max="150" width="8.0"/>
    <col customWidth="1" min="151" max="151" width="13.29"/>
    <col customWidth="1" min="152" max="157" width="8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4" t="s">
        <v>18</v>
      </c>
      <c r="Q2" s="163" t="s">
        <v>18</v>
      </c>
      <c r="R2" s="1" t="s">
        <v>18</v>
      </c>
      <c r="S2" s="163" t="s">
        <v>18</v>
      </c>
      <c r="T2" s="1"/>
      <c r="U2" s="1" t="s">
        <v>18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4" t="s">
        <v>18</v>
      </c>
      <c r="Q3" s="163" t="s">
        <v>18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4" t="s">
        <v>18</v>
      </c>
      <c r="Q4" s="163" t="s">
        <v>18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64" t="s">
        <v>185</v>
      </c>
      <c r="EV4" s="165" t="s">
        <v>186</v>
      </c>
      <c r="EW4" s="137"/>
      <c r="EX4" s="137"/>
      <c r="EY4" s="137"/>
      <c r="EZ4" s="135"/>
      <c r="FA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66" t="s">
        <v>187</v>
      </c>
      <c r="EV5" s="168" t="s">
        <v>188</v>
      </c>
      <c r="EW5" s="169"/>
      <c r="EX5" s="169"/>
      <c r="EY5" s="169"/>
      <c r="EZ5" s="170"/>
      <c r="FA5" s="1"/>
    </row>
    <row r="6" ht="13.5" customHeight="1">
      <c r="A6" s="5">
        <v>2018.0</v>
      </c>
      <c r="B6" s="7"/>
      <c r="C6" s="143" t="s">
        <v>189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20"/>
      <c r="P6" s="143" t="s">
        <v>190</v>
      </c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20"/>
      <c r="AC6" s="143" t="s">
        <v>191</v>
      </c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20"/>
      <c r="AP6" s="143" t="s">
        <v>192</v>
      </c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20"/>
      <c r="BC6" s="143" t="s">
        <v>193</v>
      </c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20"/>
      <c r="BP6" s="143" t="s">
        <v>194</v>
      </c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20"/>
      <c r="CC6" s="143" t="s">
        <v>195</v>
      </c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20"/>
      <c r="CP6" s="143" t="s">
        <v>196</v>
      </c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20"/>
      <c r="DC6" s="143" t="s">
        <v>197</v>
      </c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20"/>
      <c r="DP6" s="143" t="s">
        <v>198</v>
      </c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20"/>
      <c r="EC6" s="143" t="s">
        <v>199</v>
      </c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20"/>
      <c r="EP6" s="1"/>
      <c r="EQ6" s="1"/>
      <c r="ER6" s="1"/>
      <c r="ES6" s="1"/>
      <c r="ET6" s="1"/>
      <c r="EU6" s="49"/>
      <c r="EV6" s="171" t="s">
        <v>200</v>
      </c>
      <c r="EW6" s="172" t="s">
        <v>201</v>
      </c>
      <c r="EX6" s="172" t="s">
        <v>202</v>
      </c>
      <c r="EY6" s="173" t="s">
        <v>203</v>
      </c>
      <c r="EZ6" s="174" t="s">
        <v>67</v>
      </c>
      <c r="FA6" s="1"/>
    </row>
    <row r="7" ht="13.5" customHeight="1">
      <c r="A7" s="11" t="s">
        <v>2</v>
      </c>
      <c r="B7" s="143" t="s">
        <v>5</v>
      </c>
      <c r="C7" s="175" t="s">
        <v>204</v>
      </c>
      <c r="D7" s="14" t="s">
        <v>205</v>
      </c>
      <c r="E7" s="14" t="s">
        <v>206</v>
      </c>
      <c r="F7" s="14" t="s">
        <v>207</v>
      </c>
      <c r="G7" s="14" t="s">
        <v>208</v>
      </c>
      <c r="H7" s="17" t="s">
        <v>209</v>
      </c>
      <c r="I7" s="13" t="s">
        <v>210</v>
      </c>
      <c r="J7" s="14" t="s">
        <v>205</v>
      </c>
      <c r="K7" s="14" t="s">
        <v>206</v>
      </c>
      <c r="L7" s="14" t="s">
        <v>207</v>
      </c>
      <c r="M7" s="14" t="s">
        <v>208</v>
      </c>
      <c r="N7" s="21" t="s">
        <v>209</v>
      </c>
      <c r="O7" s="11" t="s">
        <v>67</v>
      </c>
      <c r="P7" s="13" t="s">
        <v>211</v>
      </c>
      <c r="Q7" s="14" t="s">
        <v>205</v>
      </c>
      <c r="R7" s="14" t="s">
        <v>206</v>
      </c>
      <c r="S7" s="14" t="s">
        <v>207</v>
      </c>
      <c r="T7" s="14" t="s">
        <v>208</v>
      </c>
      <c r="U7" s="17" t="s">
        <v>209</v>
      </c>
      <c r="V7" s="13" t="s">
        <v>210</v>
      </c>
      <c r="W7" s="14" t="s">
        <v>205</v>
      </c>
      <c r="X7" s="14" t="s">
        <v>206</v>
      </c>
      <c r="Y7" s="14" t="s">
        <v>207</v>
      </c>
      <c r="Z7" s="14" t="s">
        <v>208</v>
      </c>
      <c r="AA7" s="21" t="s">
        <v>209</v>
      </c>
      <c r="AB7" s="11" t="s">
        <v>67</v>
      </c>
      <c r="AC7" s="13" t="s">
        <v>212</v>
      </c>
      <c r="AD7" s="14" t="s">
        <v>205</v>
      </c>
      <c r="AE7" s="14" t="s">
        <v>206</v>
      </c>
      <c r="AF7" s="14" t="s">
        <v>207</v>
      </c>
      <c r="AG7" s="14" t="s">
        <v>208</v>
      </c>
      <c r="AH7" s="17" t="s">
        <v>209</v>
      </c>
      <c r="AI7" s="13" t="s">
        <v>213</v>
      </c>
      <c r="AJ7" s="14" t="s">
        <v>205</v>
      </c>
      <c r="AK7" s="14" t="s">
        <v>206</v>
      </c>
      <c r="AL7" s="14" t="s">
        <v>207</v>
      </c>
      <c r="AM7" s="14" t="s">
        <v>208</v>
      </c>
      <c r="AN7" s="21" t="s">
        <v>209</v>
      </c>
      <c r="AO7" s="11" t="s">
        <v>67</v>
      </c>
      <c r="AP7" s="13" t="s">
        <v>214</v>
      </c>
      <c r="AQ7" s="14" t="s">
        <v>205</v>
      </c>
      <c r="AR7" s="14" t="s">
        <v>206</v>
      </c>
      <c r="AS7" s="14" t="s">
        <v>207</v>
      </c>
      <c r="AT7" s="14" t="s">
        <v>208</v>
      </c>
      <c r="AU7" s="17" t="s">
        <v>209</v>
      </c>
      <c r="AV7" s="13" t="s">
        <v>215</v>
      </c>
      <c r="AW7" s="14" t="s">
        <v>205</v>
      </c>
      <c r="AX7" s="14" t="s">
        <v>206</v>
      </c>
      <c r="AY7" s="14" t="s">
        <v>207</v>
      </c>
      <c r="AZ7" s="14" t="s">
        <v>208</v>
      </c>
      <c r="BA7" s="21" t="s">
        <v>209</v>
      </c>
      <c r="BB7" s="11" t="s">
        <v>67</v>
      </c>
      <c r="BC7" s="13" t="s">
        <v>216</v>
      </c>
      <c r="BD7" s="14" t="s">
        <v>205</v>
      </c>
      <c r="BE7" s="14" t="s">
        <v>206</v>
      </c>
      <c r="BF7" s="14" t="s">
        <v>207</v>
      </c>
      <c r="BG7" s="14" t="s">
        <v>208</v>
      </c>
      <c r="BH7" s="17" t="s">
        <v>209</v>
      </c>
      <c r="BI7" s="13" t="s">
        <v>217</v>
      </c>
      <c r="BJ7" s="14" t="s">
        <v>205</v>
      </c>
      <c r="BK7" s="14" t="s">
        <v>206</v>
      </c>
      <c r="BL7" s="14" t="s">
        <v>207</v>
      </c>
      <c r="BM7" s="14" t="s">
        <v>208</v>
      </c>
      <c r="BN7" s="21" t="s">
        <v>209</v>
      </c>
      <c r="BO7" s="11" t="s">
        <v>67</v>
      </c>
      <c r="BP7" s="13" t="s">
        <v>218</v>
      </c>
      <c r="BQ7" s="14" t="s">
        <v>205</v>
      </c>
      <c r="BR7" s="14" t="s">
        <v>206</v>
      </c>
      <c r="BS7" s="14" t="s">
        <v>207</v>
      </c>
      <c r="BT7" s="14" t="s">
        <v>208</v>
      </c>
      <c r="BU7" s="17" t="s">
        <v>209</v>
      </c>
      <c r="BV7" s="13" t="s">
        <v>219</v>
      </c>
      <c r="BW7" s="14" t="s">
        <v>205</v>
      </c>
      <c r="BX7" s="14" t="s">
        <v>206</v>
      </c>
      <c r="BY7" s="14" t="s">
        <v>207</v>
      </c>
      <c r="BZ7" s="14" t="s">
        <v>208</v>
      </c>
      <c r="CA7" s="21" t="s">
        <v>209</v>
      </c>
      <c r="CB7" s="11" t="s">
        <v>67</v>
      </c>
      <c r="CC7" s="13" t="s">
        <v>220</v>
      </c>
      <c r="CD7" s="14" t="s">
        <v>205</v>
      </c>
      <c r="CE7" s="14" t="s">
        <v>206</v>
      </c>
      <c r="CF7" s="14" t="s">
        <v>207</v>
      </c>
      <c r="CG7" s="14" t="s">
        <v>208</v>
      </c>
      <c r="CH7" s="17" t="s">
        <v>209</v>
      </c>
      <c r="CI7" s="13" t="s">
        <v>221</v>
      </c>
      <c r="CJ7" s="14" t="s">
        <v>205</v>
      </c>
      <c r="CK7" s="14" t="s">
        <v>206</v>
      </c>
      <c r="CL7" s="14" t="s">
        <v>207</v>
      </c>
      <c r="CM7" s="14" t="s">
        <v>208</v>
      </c>
      <c r="CN7" s="21" t="s">
        <v>209</v>
      </c>
      <c r="CO7" s="11" t="s">
        <v>67</v>
      </c>
      <c r="CP7" s="13" t="s">
        <v>222</v>
      </c>
      <c r="CQ7" s="14" t="s">
        <v>205</v>
      </c>
      <c r="CR7" s="14" t="s">
        <v>206</v>
      </c>
      <c r="CS7" s="14" t="s">
        <v>207</v>
      </c>
      <c r="CT7" s="14" t="s">
        <v>208</v>
      </c>
      <c r="CU7" s="17" t="s">
        <v>209</v>
      </c>
      <c r="CV7" s="13" t="s">
        <v>223</v>
      </c>
      <c r="CW7" s="14" t="s">
        <v>205</v>
      </c>
      <c r="CX7" s="14" t="s">
        <v>206</v>
      </c>
      <c r="CY7" s="14" t="s">
        <v>207</v>
      </c>
      <c r="CZ7" s="14" t="s">
        <v>208</v>
      </c>
      <c r="DA7" s="21" t="s">
        <v>209</v>
      </c>
      <c r="DB7" s="11" t="s">
        <v>67</v>
      </c>
      <c r="DC7" s="13" t="s">
        <v>224</v>
      </c>
      <c r="DD7" s="14" t="s">
        <v>205</v>
      </c>
      <c r="DE7" s="14" t="s">
        <v>206</v>
      </c>
      <c r="DF7" s="14" t="s">
        <v>207</v>
      </c>
      <c r="DG7" s="14" t="s">
        <v>208</v>
      </c>
      <c r="DH7" s="17" t="s">
        <v>209</v>
      </c>
      <c r="DI7" s="13" t="s">
        <v>223</v>
      </c>
      <c r="DJ7" s="14" t="s">
        <v>205</v>
      </c>
      <c r="DK7" s="14" t="s">
        <v>206</v>
      </c>
      <c r="DL7" s="14" t="s">
        <v>207</v>
      </c>
      <c r="DM7" s="14" t="s">
        <v>208</v>
      </c>
      <c r="DN7" s="21" t="s">
        <v>209</v>
      </c>
      <c r="DO7" s="11" t="s">
        <v>67</v>
      </c>
      <c r="DP7" s="13" t="s">
        <v>224</v>
      </c>
      <c r="DQ7" s="14" t="s">
        <v>205</v>
      </c>
      <c r="DR7" s="14" t="s">
        <v>206</v>
      </c>
      <c r="DS7" s="14" t="s">
        <v>207</v>
      </c>
      <c r="DT7" s="14" t="s">
        <v>208</v>
      </c>
      <c r="DU7" s="17" t="s">
        <v>209</v>
      </c>
      <c r="DV7" s="13" t="s">
        <v>223</v>
      </c>
      <c r="DW7" s="14" t="s">
        <v>205</v>
      </c>
      <c r="DX7" s="14" t="s">
        <v>206</v>
      </c>
      <c r="DY7" s="14" t="s">
        <v>207</v>
      </c>
      <c r="DZ7" s="14" t="s">
        <v>208</v>
      </c>
      <c r="EA7" s="21" t="s">
        <v>209</v>
      </c>
      <c r="EB7" s="11" t="s">
        <v>67</v>
      </c>
      <c r="EC7" s="13" t="s">
        <v>224</v>
      </c>
      <c r="ED7" s="14" t="s">
        <v>205</v>
      </c>
      <c r="EE7" s="14" t="s">
        <v>206</v>
      </c>
      <c r="EF7" s="14" t="s">
        <v>207</v>
      </c>
      <c r="EG7" s="14" t="s">
        <v>208</v>
      </c>
      <c r="EH7" s="17" t="s">
        <v>209</v>
      </c>
      <c r="EI7" s="13" t="s">
        <v>223</v>
      </c>
      <c r="EJ7" s="14" t="s">
        <v>205</v>
      </c>
      <c r="EK7" s="14" t="s">
        <v>206</v>
      </c>
      <c r="EL7" s="14" t="s">
        <v>207</v>
      </c>
      <c r="EM7" s="14" t="s">
        <v>208</v>
      </c>
      <c r="EN7" s="21" t="s">
        <v>209</v>
      </c>
      <c r="EO7" s="11" t="s">
        <v>67</v>
      </c>
      <c r="EP7" s="1"/>
      <c r="EQ7" s="1"/>
      <c r="ER7" s="1"/>
      <c r="ES7" s="1"/>
      <c r="ET7" s="1"/>
      <c r="EU7" s="49"/>
      <c r="EV7" s="176"/>
      <c r="EW7" s="42"/>
      <c r="EX7" s="42"/>
      <c r="EY7" s="43"/>
      <c r="EZ7" s="61">
        <f t="shared" ref="EZ7:EZ47" si="1">EV7+EW7+EX7+EY7</f>
        <v>0</v>
      </c>
      <c r="FA7" s="1"/>
    </row>
    <row r="8" ht="13.5" customHeight="1">
      <c r="A8" s="27" t="s">
        <v>29</v>
      </c>
      <c r="B8" s="29" t="s">
        <v>31</v>
      </c>
      <c r="C8" s="177"/>
      <c r="D8" s="178"/>
      <c r="E8" s="178"/>
      <c r="F8" s="152"/>
      <c r="G8" s="179"/>
      <c r="H8" s="113"/>
      <c r="I8" s="177"/>
      <c r="J8" s="178"/>
      <c r="K8" s="178"/>
      <c r="L8" s="180"/>
      <c r="M8" s="181"/>
      <c r="N8" s="182"/>
      <c r="O8" s="183"/>
      <c r="P8" s="177"/>
      <c r="Q8" s="178"/>
      <c r="R8" s="178"/>
      <c r="S8" s="152"/>
      <c r="T8" s="179"/>
      <c r="U8" s="113"/>
      <c r="V8" s="177"/>
      <c r="W8" s="178"/>
      <c r="X8" s="178"/>
      <c r="Y8" s="180"/>
      <c r="Z8" s="181"/>
      <c r="AA8" s="182"/>
      <c r="AB8" s="183"/>
      <c r="AC8" s="177"/>
      <c r="AD8" s="178"/>
      <c r="AE8" s="178"/>
      <c r="AF8" s="152"/>
      <c r="AG8" s="179"/>
      <c r="AH8" s="113"/>
      <c r="AI8" s="177"/>
      <c r="AJ8" s="178"/>
      <c r="AK8" s="178"/>
      <c r="AL8" s="180"/>
      <c r="AM8" s="181"/>
      <c r="AN8" s="182"/>
      <c r="AO8" s="183"/>
      <c r="AP8" s="177"/>
      <c r="AQ8" s="178"/>
      <c r="AR8" s="178"/>
      <c r="AS8" s="152"/>
      <c r="AT8" s="179"/>
      <c r="AU8" s="113"/>
      <c r="AV8" s="177"/>
      <c r="AW8" s="178"/>
      <c r="AX8" s="178"/>
      <c r="AY8" s="180"/>
      <c r="AZ8" s="181"/>
      <c r="BA8" s="182"/>
      <c r="BB8" s="183"/>
      <c r="BC8" s="177"/>
      <c r="BD8" s="178"/>
      <c r="BE8" s="178"/>
      <c r="BF8" s="152"/>
      <c r="BG8" s="179"/>
      <c r="BH8" s="113"/>
      <c r="BI8" s="177"/>
      <c r="BJ8" s="178"/>
      <c r="BK8" s="178"/>
      <c r="BL8" s="180"/>
      <c r="BM8" s="181"/>
      <c r="BN8" s="182"/>
      <c r="BO8" s="183"/>
      <c r="BP8" s="177"/>
      <c r="BQ8" s="178"/>
      <c r="BR8" s="178"/>
      <c r="BS8" s="152"/>
      <c r="BT8" s="179"/>
      <c r="BU8" s="113"/>
      <c r="BV8" s="177"/>
      <c r="BW8" s="178"/>
      <c r="BX8" s="178"/>
      <c r="BY8" s="180"/>
      <c r="BZ8" s="181"/>
      <c r="CA8" s="182"/>
      <c r="CB8" s="183"/>
      <c r="CC8" s="33">
        <v>9983.0</v>
      </c>
      <c r="CD8" s="184">
        <v>43296.0</v>
      </c>
      <c r="CE8" s="184">
        <v>43313.0</v>
      </c>
      <c r="CF8" s="152">
        <f t="shared" ref="CF8:CF9" si="2">CE8-CD8</f>
        <v>17</v>
      </c>
      <c r="CG8" s="185">
        <f t="shared" ref="CG8:CG9" si="3">0.0725*2/365</f>
        <v>0.000397260274</v>
      </c>
      <c r="CH8" s="113">
        <f t="shared" ref="CH8:CH9" si="4">CC8*CF8*CG8</f>
        <v>67.41943836</v>
      </c>
      <c r="CI8" s="177"/>
      <c r="CJ8" s="178"/>
      <c r="CK8" s="178"/>
      <c r="CL8" s="180"/>
      <c r="CM8" s="181"/>
      <c r="CN8" s="182"/>
      <c r="CO8" s="183">
        <f t="shared" ref="CO8:CO9" si="5">CH8+CN8</f>
        <v>67.41943836</v>
      </c>
      <c r="CP8" s="177"/>
      <c r="CQ8" s="178"/>
      <c r="CR8" s="178"/>
      <c r="CS8" s="152"/>
      <c r="CT8" s="179"/>
      <c r="CU8" s="113"/>
      <c r="CV8" s="177"/>
      <c r="CW8" s="178"/>
      <c r="CX8" s="178"/>
      <c r="CY8" s="180"/>
      <c r="CZ8" s="181"/>
      <c r="DA8" s="182"/>
      <c r="DB8" s="183"/>
      <c r="DC8" s="177"/>
      <c r="DD8" s="178"/>
      <c r="DE8" s="178"/>
      <c r="DF8" s="152"/>
      <c r="DG8" s="179"/>
      <c r="DH8" s="113"/>
      <c r="DI8" s="177"/>
      <c r="DJ8" s="178"/>
      <c r="DK8" s="178"/>
      <c r="DL8" s="180"/>
      <c r="DM8" s="181"/>
      <c r="DN8" s="182"/>
      <c r="DO8" s="183"/>
      <c r="DP8" s="177"/>
      <c r="DQ8" s="178"/>
      <c r="DR8" s="178"/>
      <c r="DS8" s="152"/>
      <c r="DT8" s="179"/>
      <c r="DU8" s="113"/>
      <c r="DV8" s="177"/>
      <c r="DW8" s="178"/>
      <c r="DX8" s="178"/>
      <c r="DY8" s="180"/>
      <c r="DZ8" s="181"/>
      <c r="EA8" s="182"/>
      <c r="EB8" s="183"/>
      <c r="EC8" s="177"/>
      <c r="ED8" s="178"/>
      <c r="EE8" s="178"/>
      <c r="EF8" s="152"/>
      <c r="EG8" s="179"/>
      <c r="EH8" s="113"/>
      <c r="EI8" s="177"/>
      <c r="EJ8" s="178"/>
      <c r="EK8" s="178"/>
      <c r="EL8" s="180"/>
      <c r="EM8" s="181"/>
      <c r="EN8" s="182"/>
      <c r="EO8" s="183"/>
      <c r="EP8" s="1"/>
      <c r="EQ8" s="1"/>
      <c r="ER8" s="1"/>
      <c r="ES8" s="1"/>
      <c r="ET8" s="1"/>
      <c r="EU8" s="41">
        <f t="shared" ref="EU8:EU47" si="6">O8+AB8+AO8+BB8+BO8+CB8+CO8+DB8+DO8+EB8+EO8</f>
        <v>67.41943836</v>
      </c>
      <c r="EV8" s="186"/>
      <c r="EW8" s="54"/>
      <c r="EX8" s="54"/>
      <c r="EY8" s="55"/>
      <c r="EZ8" s="61">
        <f t="shared" si="1"/>
        <v>0</v>
      </c>
      <c r="FA8" s="1"/>
    </row>
    <row r="9" ht="13.5" customHeight="1">
      <c r="A9" s="48" t="s">
        <v>45</v>
      </c>
      <c r="B9" s="49" t="s">
        <v>31</v>
      </c>
      <c r="C9" s="177"/>
      <c r="D9" s="178"/>
      <c r="E9" s="178"/>
      <c r="F9" s="152"/>
      <c r="G9" s="179"/>
      <c r="H9" s="113"/>
      <c r="I9" s="177"/>
      <c r="J9" s="178"/>
      <c r="K9" s="178"/>
      <c r="L9" s="180"/>
      <c r="M9" s="181"/>
      <c r="N9" s="182"/>
      <c r="O9" s="183"/>
      <c r="P9" s="177"/>
      <c r="Q9" s="178"/>
      <c r="R9" s="178"/>
      <c r="S9" s="152"/>
      <c r="T9" s="179"/>
      <c r="U9" s="113"/>
      <c r="V9" s="177"/>
      <c r="W9" s="178"/>
      <c r="X9" s="178"/>
      <c r="Y9" s="180"/>
      <c r="Z9" s="181"/>
      <c r="AA9" s="182"/>
      <c r="AB9" s="183"/>
      <c r="AC9" s="177"/>
      <c r="AD9" s="178"/>
      <c r="AE9" s="178"/>
      <c r="AF9" s="152"/>
      <c r="AG9" s="179"/>
      <c r="AH9" s="113"/>
      <c r="AI9" s="177"/>
      <c r="AJ9" s="178"/>
      <c r="AK9" s="178"/>
      <c r="AL9" s="180"/>
      <c r="AM9" s="181"/>
      <c r="AN9" s="182"/>
      <c r="AO9" s="183"/>
      <c r="AP9" s="177"/>
      <c r="AQ9" s="178"/>
      <c r="AR9" s="178"/>
      <c r="AS9" s="152"/>
      <c r="AT9" s="179"/>
      <c r="AU9" s="113"/>
      <c r="AV9" s="177"/>
      <c r="AW9" s="178"/>
      <c r="AX9" s="178"/>
      <c r="AY9" s="180"/>
      <c r="AZ9" s="181"/>
      <c r="BA9" s="182"/>
      <c r="BB9" s="183"/>
      <c r="BC9" s="177"/>
      <c r="BD9" s="178"/>
      <c r="BE9" s="178"/>
      <c r="BF9" s="152"/>
      <c r="BG9" s="179"/>
      <c r="BH9" s="113"/>
      <c r="BI9" s="177"/>
      <c r="BJ9" s="178"/>
      <c r="BK9" s="178"/>
      <c r="BL9" s="180"/>
      <c r="BM9" s="181"/>
      <c r="BN9" s="182"/>
      <c r="BO9" s="183"/>
      <c r="BP9" s="177"/>
      <c r="BQ9" s="178"/>
      <c r="BR9" s="178"/>
      <c r="BS9" s="152"/>
      <c r="BT9" s="179"/>
      <c r="BU9" s="113"/>
      <c r="BV9" s="177"/>
      <c r="BW9" s="178"/>
      <c r="BX9" s="178"/>
      <c r="BY9" s="180"/>
      <c r="BZ9" s="181"/>
      <c r="CA9" s="182"/>
      <c r="CB9" s="183"/>
      <c r="CC9" s="33">
        <v>9983.0</v>
      </c>
      <c r="CD9" s="184">
        <v>43296.0</v>
      </c>
      <c r="CE9" s="184">
        <v>43313.0</v>
      </c>
      <c r="CF9" s="152">
        <f t="shared" si="2"/>
        <v>17</v>
      </c>
      <c r="CG9" s="185">
        <f t="shared" si="3"/>
        <v>0.000397260274</v>
      </c>
      <c r="CH9" s="113">
        <f t="shared" si="4"/>
        <v>67.41943836</v>
      </c>
      <c r="CI9" s="177"/>
      <c r="CJ9" s="178"/>
      <c r="CK9" s="178"/>
      <c r="CL9" s="180"/>
      <c r="CM9" s="181"/>
      <c r="CN9" s="182"/>
      <c r="CO9" s="183">
        <f t="shared" si="5"/>
        <v>67.41943836</v>
      </c>
      <c r="CP9" s="177"/>
      <c r="CQ9" s="178"/>
      <c r="CR9" s="178"/>
      <c r="CS9" s="152"/>
      <c r="CT9" s="179"/>
      <c r="CU9" s="113"/>
      <c r="CV9" s="177"/>
      <c r="CW9" s="178"/>
      <c r="CX9" s="178"/>
      <c r="CY9" s="180"/>
      <c r="CZ9" s="181"/>
      <c r="DA9" s="182"/>
      <c r="DB9" s="183"/>
      <c r="DC9" s="177"/>
      <c r="DD9" s="178"/>
      <c r="DE9" s="178"/>
      <c r="DF9" s="152"/>
      <c r="DG9" s="179"/>
      <c r="DH9" s="113"/>
      <c r="DI9" s="177"/>
      <c r="DJ9" s="178"/>
      <c r="DK9" s="178"/>
      <c r="DL9" s="180"/>
      <c r="DM9" s="181"/>
      <c r="DN9" s="182"/>
      <c r="DO9" s="183"/>
      <c r="DP9" s="177"/>
      <c r="DQ9" s="178"/>
      <c r="DR9" s="178"/>
      <c r="DS9" s="152"/>
      <c r="DT9" s="179"/>
      <c r="DU9" s="113"/>
      <c r="DV9" s="177"/>
      <c r="DW9" s="178"/>
      <c r="DX9" s="178"/>
      <c r="DY9" s="180"/>
      <c r="DZ9" s="181"/>
      <c r="EA9" s="182"/>
      <c r="EB9" s="183"/>
      <c r="EC9" s="177"/>
      <c r="ED9" s="178"/>
      <c r="EE9" s="178"/>
      <c r="EF9" s="152"/>
      <c r="EG9" s="179"/>
      <c r="EH9" s="113"/>
      <c r="EI9" s="177"/>
      <c r="EJ9" s="178"/>
      <c r="EK9" s="178"/>
      <c r="EL9" s="180"/>
      <c r="EM9" s="181"/>
      <c r="EN9" s="182"/>
      <c r="EO9" s="183"/>
      <c r="EP9" s="1"/>
      <c r="EQ9" s="1"/>
      <c r="ER9" s="1"/>
      <c r="ES9" s="1"/>
      <c r="ET9" s="1"/>
      <c r="EU9" s="41">
        <f t="shared" si="6"/>
        <v>67.41943836</v>
      </c>
      <c r="EV9" s="186"/>
      <c r="EW9" s="54"/>
      <c r="EX9" s="54"/>
      <c r="EY9" s="55"/>
      <c r="EZ9" s="61">
        <f t="shared" si="1"/>
        <v>0</v>
      </c>
      <c r="FA9" s="1"/>
    </row>
    <row r="10" ht="13.5" customHeight="1">
      <c r="A10" s="48" t="s">
        <v>73</v>
      </c>
      <c r="B10" s="49" t="s">
        <v>74</v>
      </c>
      <c r="C10" s="177"/>
      <c r="D10" s="178"/>
      <c r="E10" s="178"/>
      <c r="F10" s="152"/>
      <c r="G10" s="179"/>
      <c r="H10" s="113"/>
      <c r="I10" s="177"/>
      <c r="J10" s="178"/>
      <c r="K10" s="178"/>
      <c r="L10" s="180"/>
      <c r="M10" s="181"/>
      <c r="N10" s="182"/>
      <c r="O10" s="183"/>
      <c r="P10" s="177"/>
      <c r="Q10" s="178"/>
      <c r="R10" s="178"/>
      <c r="S10" s="152"/>
      <c r="T10" s="179"/>
      <c r="U10" s="113"/>
      <c r="V10" s="177"/>
      <c r="W10" s="178"/>
      <c r="X10" s="178"/>
      <c r="Y10" s="180"/>
      <c r="Z10" s="181"/>
      <c r="AA10" s="182"/>
      <c r="AB10" s="183"/>
      <c r="AC10" s="177"/>
      <c r="AD10" s="178"/>
      <c r="AE10" s="178"/>
      <c r="AF10" s="152"/>
      <c r="AG10" s="179"/>
      <c r="AH10" s="113"/>
      <c r="AI10" s="177"/>
      <c r="AJ10" s="178"/>
      <c r="AK10" s="178"/>
      <c r="AL10" s="180"/>
      <c r="AM10" s="181"/>
      <c r="AN10" s="182"/>
      <c r="AO10" s="183"/>
      <c r="AP10" s="177"/>
      <c r="AQ10" s="178"/>
      <c r="AR10" s="178"/>
      <c r="AS10" s="152"/>
      <c r="AT10" s="179"/>
      <c r="AU10" s="113"/>
      <c r="AV10" s="177"/>
      <c r="AW10" s="178"/>
      <c r="AX10" s="178"/>
      <c r="AY10" s="180"/>
      <c r="AZ10" s="181"/>
      <c r="BA10" s="182"/>
      <c r="BB10" s="183"/>
      <c r="BC10" s="177"/>
      <c r="BD10" s="178"/>
      <c r="BE10" s="178"/>
      <c r="BF10" s="152"/>
      <c r="BG10" s="179"/>
      <c r="BH10" s="113"/>
      <c r="BI10" s="177"/>
      <c r="BJ10" s="178"/>
      <c r="BK10" s="178"/>
      <c r="BL10" s="180"/>
      <c r="BM10" s="181"/>
      <c r="BN10" s="182"/>
      <c r="BO10" s="183"/>
      <c r="BP10" s="177"/>
      <c r="BQ10" s="178"/>
      <c r="BR10" s="178"/>
      <c r="BS10" s="152"/>
      <c r="BT10" s="179"/>
      <c r="BU10" s="113"/>
      <c r="BV10" s="177"/>
      <c r="BW10" s="178"/>
      <c r="BX10" s="178"/>
      <c r="BY10" s="180"/>
      <c r="BZ10" s="181"/>
      <c r="CA10" s="182"/>
      <c r="CB10" s="183"/>
      <c r="CC10" s="177"/>
      <c r="CD10" s="178"/>
      <c r="CE10" s="178"/>
      <c r="CF10" s="152"/>
      <c r="CG10" s="179"/>
      <c r="CH10" s="113"/>
      <c r="CI10" s="177"/>
      <c r="CJ10" s="178"/>
      <c r="CK10" s="178"/>
      <c r="CL10" s="180"/>
      <c r="CM10" s="181"/>
      <c r="CN10" s="182"/>
      <c r="CO10" s="183"/>
      <c r="CP10" s="177"/>
      <c r="CQ10" s="178"/>
      <c r="CR10" s="178"/>
      <c r="CS10" s="152"/>
      <c r="CT10" s="179"/>
      <c r="CU10" s="113"/>
      <c r="CV10" s="177"/>
      <c r="CW10" s="178"/>
      <c r="CX10" s="178"/>
      <c r="CY10" s="180"/>
      <c r="CZ10" s="181"/>
      <c r="DA10" s="182"/>
      <c r="DB10" s="183"/>
      <c r="DC10" s="177"/>
      <c r="DD10" s="178"/>
      <c r="DE10" s="178"/>
      <c r="DF10" s="152"/>
      <c r="DG10" s="179"/>
      <c r="DH10" s="113"/>
      <c r="DI10" s="177"/>
      <c r="DJ10" s="178"/>
      <c r="DK10" s="178"/>
      <c r="DL10" s="180"/>
      <c r="DM10" s="181"/>
      <c r="DN10" s="182"/>
      <c r="DO10" s="183"/>
      <c r="DP10" s="177"/>
      <c r="DQ10" s="178"/>
      <c r="DR10" s="178"/>
      <c r="DS10" s="152"/>
      <c r="DT10" s="179"/>
      <c r="DU10" s="113"/>
      <c r="DV10" s="177"/>
      <c r="DW10" s="178"/>
      <c r="DX10" s="178"/>
      <c r="DY10" s="180"/>
      <c r="DZ10" s="181"/>
      <c r="EA10" s="182"/>
      <c r="EB10" s="183"/>
      <c r="EC10" s="177"/>
      <c r="ED10" s="178"/>
      <c r="EE10" s="178"/>
      <c r="EF10" s="152"/>
      <c r="EG10" s="179"/>
      <c r="EH10" s="113"/>
      <c r="EI10" s="177"/>
      <c r="EJ10" s="178"/>
      <c r="EK10" s="178"/>
      <c r="EL10" s="180"/>
      <c r="EM10" s="181"/>
      <c r="EN10" s="182"/>
      <c r="EO10" s="183"/>
      <c r="EP10" s="1"/>
      <c r="EQ10" s="1"/>
      <c r="ER10" s="1"/>
      <c r="ES10" s="1"/>
      <c r="ET10" s="1"/>
      <c r="EU10" s="41">
        <f t="shared" si="6"/>
        <v>0</v>
      </c>
      <c r="EV10" s="186"/>
      <c r="EW10" s="54"/>
      <c r="EX10" s="54"/>
      <c r="EY10" s="55"/>
      <c r="EZ10" s="61">
        <f t="shared" si="1"/>
        <v>0</v>
      </c>
      <c r="FA10" s="1"/>
    </row>
    <row r="11" ht="13.5" customHeight="1">
      <c r="A11" s="48" t="s">
        <v>75</v>
      </c>
      <c r="B11" s="49" t="s">
        <v>76</v>
      </c>
      <c r="C11" s="177"/>
      <c r="D11" s="178"/>
      <c r="E11" s="178"/>
      <c r="F11" s="152"/>
      <c r="G11" s="179"/>
      <c r="H11" s="113"/>
      <c r="I11" s="177"/>
      <c r="J11" s="178"/>
      <c r="K11" s="178"/>
      <c r="L11" s="180"/>
      <c r="M11" s="181"/>
      <c r="N11" s="182"/>
      <c r="O11" s="183"/>
      <c r="P11" s="177"/>
      <c r="Q11" s="178"/>
      <c r="R11" s="178"/>
      <c r="S11" s="152"/>
      <c r="T11" s="179"/>
      <c r="U11" s="113"/>
      <c r="V11" s="177"/>
      <c r="W11" s="178"/>
      <c r="X11" s="178"/>
      <c r="Y11" s="180"/>
      <c r="Z11" s="181"/>
      <c r="AA11" s="182"/>
      <c r="AB11" s="183"/>
      <c r="AC11" s="177"/>
      <c r="AD11" s="178"/>
      <c r="AE11" s="178"/>
      <c r="AF11" s="152"/>
      <c r="AG11" s="179"/>
      <c r="AH11" s="113"/>
      <c r="AI11" s="177"/>
      <c r="AJ11" s="178"/>
      <c r="AK11" s="178"/>
      <c r="AL11" s="180"/>
      <c r="AM11" s="181"/>
      <c r="AN11" s="182"/>
      <c r="AO11" s="183"/>
      <c r="AP11" s="177"/>
      <c r="AQ11" s="178"/>
      <c r="AR11" s="178"/>
      <c r="AS11" s="152"/>
      <c r="AT11" s="179"/>
      <c r="AU11" s="113"/>
      <c r="AV11" s="177"/>
      <c r="AW11" s="178"/>
      <c r="AX11" s="178"/>
      <c r="AY11" s="180"/>
      <c r="AZ11" s="181"/>
      <c r="BA11" s="182"/>
      <c r="BB11" s="183"/>
      <c r="BC11" s="177"/>
      <c r="BD11" s="178"/>
      <c r="BE11" s="178"/>
      <c r="BF11" s="152"/>
      <c r="BG11" s="179"/>
      <c r="BH11" s="113"/>
      <c r="BI11" s="177"/>
      <c r="BJ11" s="178"/>
      <c r="BK11" s="178"/>
      <c r="BL11" s="180"/>
      <c r="BM11" s="181"/>
      <c r="BN11" s="182"/>
      <c r="BO11" s="183"/>
      <c r="BP11" s="177"/>
      <c r="BQ11" s="178"/>
      <c r="BR11" s="178"/>
      <c r="BS11" s="152"/>
      <c r="BT11" s="179"/>
      <c r="BU11" s="113"/>
      <c r="BV11" s="177"/>
      <c r="BW11" s="178"/>
      <c r="BX11" s="178"/>
      <c r="BY11" s="180"/>
      <c r="BZ11" s="181"/>
      <c r="CA11" s="182"/>
      <c r="CB11" s="183"/>
      <c r="CC11" s="177"/>
      <c r="CD11" s="178"/>
      <c r="CE11" s="178"/>
      <c r="CF11" s="152"/>
      <c r="CG11" s="179"/>
      <c r="CH11" s="113"/>
      <c r="CI11" s="177"/>
      <c r="CJ11" s="178"/>
      <c r="CK11" s="178"/>
      <c r="CL11" s="180"/>
      <c r="CM11" s="181"/>
      <c r="CN11" s="182"/>
      <c r="CO11" s="183"/>
      <c r="CP11" s="177"/>
      <c r="CQ11" s="178"/>
      <c r="CR11" s="178"/>
      <c r="CS11" s="152"/>
      <c r="CT11" s="179"/>
      <c r="CU11" s="113"/>
      <c r="CV11" s="177"/>
      <c r="CW11" s="178"/>
      <c r="CX11" s="178"/>
      <c r="CY11" s="180"/>
      <c r="CZ11" s="181"/>
      <c r="DA11" s="182"/>
      <c r="DB11" s="183"/>
      <c r="DC11" s="177"/>
      <c r="DD11" s="178"/>
      <c r="DE11" s="178"/>
      <c r="DF11" s="152"/>
      <c r="DG11" s="179"/>
      <c r="DH11" s="113"/>
      <c r="DI11" s="177"/>
      <c r="DJ11" s="178"/>
      <c r="DK11" s="178"/>
      <c r="DL11" s="180"/>
      <c r="DM11" s="181"/>
      <c r="DN11" s="182"/>
      <c r="DO11" s="183"/>
      <c r="DP11" s="177"/>
      <c r="DQ11" s="178"/>
      <c r="DR11" s="178"/>
      <c r="DS11" s="152"/>
      <c r="DT11" s="179"/>
      <c r="DU11" s="113"/>
      <c r="DV11" s="177"/>
      <c r="DW11" s="178"/>
      <c r="DX11" s="178"/>
      <c r="DY11" s="180"/>
      <c r="DZ11" s="181"/>
      <c r="EA11" s="182"/>
      <c r="EB11" s="183"/>
      <c r="EC11" s="177"/>
      <c r="ED11" s="178"/>
      <c r="EE11" s="178"/>
      <c r="EF11" s="152"/>
      <c r="EG11" s="179"/>
      <c r="EH11" s="113"/>
      <c r="EI11" s="177"/>
      <c r="EJ11" s="178"/>
      <c r="EK11" s="178"/>
      <c r="EL11" s="180"/>
      <c r="EM11" s="181"/>
      <c r="EN11" s="182"/>
      <c r="EO11" s="183"/>
      <c r="EP11" s="1"/>
      <c r="EQ11" s="1"/>
      <c r="ER11" s="1"/>
      <c r="ES11" s="1"/>
      <c r="ET11" s="1"/>
      <c r="EU11" s="41">
        <f t="shared" si="6"/>
        <v>0</v>
      </c>
      <c r="EV11" s="186"/>
      <c r="EW11" s="54"/>
      <c r="EX11" s="54"/>
      <c r="EY11" s="55"/>
      <c r="EZ11" s="61">
        <f t="shared" si="1"/>
        <v>0</v>
      </c>
      <c r="FA11" s="1"/>
    </row>
    <row r="12" ht="13.5" customHeight="1">
      <c r="A12" s="48" t="s">
        <v>79</v>
      </c>
      <c r="B12" s="49" t="s">
        <v>80</v>
      </c>
      <c r="C12" s="177"/>
      <c r="D12" s="178"/>
      <c r="E12" s="178"/>
      <c r="F12" s="152"/>
      <c r="G12" s="179"/>
      <c r="H12" s="113"/>
      <c r="I12" s="177"/>
      <c r="J12" s="178"/>
      <c r="K12" s="178"/>
      <c r="L12" s="180"/>
      <c r="M12" s="181"/>
      <c r="N12" s="182"/>
      <c r="O12" s="183"/>
      <c r="P12" s="177"/>
      <c r="Q12" s="178"/>
      <c r="R12" s="178"/>
      <c r="S12" s="152"/>
      <c r="T12" s="179"/>
      <c r="U12" s="113"/>
      <c r="V12" s="177"/>
      <c r="W12" s="178"/>
      <c r="X12" s="178"/>
      <c r="Y12" s="180"/>
      <c r="Z12" s="181"/>
      <c r="AA12" s="182"/>
      <c r="AB12" s="183"/>
      <c r="AC12" s="177"/>
      <c r="AD12" s="178"/>
      <c r="AE12" s="178"/>
      <c r="AF12" s="152"/>
      <c r="AG12" s="179"/>
      <c r="AH12" s="113"/>
      <c r="AI12" s="177"/>
      <c r="AJ12" s="178"/>
      <c r="AK12" s="178"/>
      <c r="AL12" s="180"/>
      <c r="AM12" s="181"/>
      <c r="AN12" s="182"/>
      <c r="AO12" s="183"/>
      <c r="AP12" s="177"/>
      <c r="AQ12" s="178"/>
      <c r="AR12" s="178"/>
      <c r="AS12" s="152"/>
      <c r="AT12" s="179"/>
      <c r="AU12" s="113"/>
      <c r="AV12" s="177"/>
      <c r="AW12" s="178"/>
      <c r="AX12" s="178"/>
      <c r="AY12" s="180"/>
      <c r="AZ12" s="181"/>
      <c r="BA12" s="182"/>
      <c r="BB12" s="183"/>
      <c r="BC12" s="177"/>
      <c r="BD12" s="178"/>
      <c r="BE12" s="178"/>
      <c r="BF12" s="152"/>
      <c r="BG12" s="179"/>
      <c r="BH12" s="113"/>
      <c r="BI12" s="177"/>
      <c r="BJ12" s="178"/>
      <c r="BK12" s="178"/>
      <c r="BL12" s="180"/>
      <c r="BM12" s="181"/>
      <c r="BN12" s="182"/>
      <c r="BO12" s="183"/>
      <c r="BP12" s="177"/>
      <c r="BQ12" s="178"/>
      <c r="BR12" s="178"/>
      <c r="BS12" s="152"/>
      <c r="BT12" s="179"/>
      <c r="BU12" s="113"/>
      <c r="BV12" s="177"/>
      <c r="BW12" s="178"/>
      <c r="BX12" s="178"/>
      <c r="BY12" s="180"/>
      <c r="BZ12" s="181"/>
      <c r="CA12" s="182"/>
      <c r="CB12" s="183"/>
      <c r="CC12" s="177"/>
      <c r="CD12" s="178"/>
      <c r="CE12" s="178"/>
      <c r="CF12" s="152"/>
      <c r="CG12" s="179"/>
      <c r="CH12" s="113"/>
      <c r="CI12" s="177"/>
      <c r="CJ12" s="178"/>
      <c r="CK12" s="178"/>
      <c r="CL12" s="180"/>
      <c r="CM12" s="181"/>
      <c r="CN12" s="182"/>
      <c r="CO12" s="183"/>
      <c r="CP12" s="177"/>
      <c r="CQ12" s="178"/>
      <c r="CR12" s="178"/>
      <c r="CS12" s="152"/>
      <c r="CT12" s="179"/>
      <c r="CU12" s="113"/>
      <c r="CV12" s="177"/>
      <c r="CW12" s="178"/>
      <c r="CX12" s="178"/>
      <c r="CY12" s="180"/>
      <c r="CZ12" s="181"/>
      <c r="DA12" s="182"/>
      <c r="DB12" s="183"/>
      <c r="DC12" s="177"/>
      <c r="DD12" s="178"/>
      <c r="DE12" s="178"/>
      <c r="DF12" s="152"/>
      <c r="DG12" s="179"/>
      <c r="DH12" s="113"/>
      <c r="DI12" s="177"/>
      <c r="DJ12" s="178"/>
      <c r="DK12" s="178"/>
      <c r="DL12" s="180"/>
      <c r="DM12" s="181"/>
      <c r="DN12" s="182"/>
      <c r="DO12" s="183"/>
      <c r="DP12" s="177"/>
      <c r="DQ12" s="178"/>
      <c r="DR12" s="178"/>
      <c r="DS12" s="152"/>
      <c r="DT12" s="179"/>
      <c r="DU12" s="113"/>
      <c r="DV12" s="177"/>
      <c r="DW12" s="178"/>
      <c r="DX12" s="178"/>
      <c r="DY12" s="180"/>
      <c r="DZ12" s="181"/>
      <c r="EA12" s="182"/>
      <c r="EB12" s="183"/>
      <c r="EC12" s="177"/>
      <c r="ED12" s="178"/>
      <c r="EE12" s="178"/>
      <c r="EF12" s="152"/>
      <c r="EG12" s="179"/>
      <c r="EH12" s="113"/>
      <c r="EI12" s="177"/>
      <c r="EJ12" s="178"/>
      <c r="EK12" s="178"/>
      <c r="EL12" s="180"/>
      <c r="EM12" s="181"/>
      <c r="EN12" s="182"/>
      <c r="EO12" s="183"/>
      <c r="EP12" s="1"/>
      <c r="EQ12" s="1"/>
      <c r="ER12" s="1"/>
      <c r="ES12" s="1"/>
      <c r="ET12" s="1"/>
      <c r="EU12" s="41">
        <f t="shared" si="6"/>
        <v>0</v>
      </c>
      <c r="EV12" s="186"/>
      <c r="EW12" s="54"/>
      <c r="EX12" s="54"/>
      <c r="EY12" s="55"/>
      <c r="EZ12" s="61">
        <f t="shared" si="1"/>
        <v>0</v>
      </c>
      <c r="FA12" s="1"/>
    </row>
    <row r="13" ht="13.5" customHeight="1">
      <c r="A13" s="48" t="s">
        <v>82</v>
      </c>
      <c r="B13" s="49" t="s">
        <v>83</v>
      </c>
      <c r="C13" s="177"/>
      <c r="D13" s="178"/>
      <c r="E13" s="178"/>
      <c r="F13" s="152"/>
      <c r="G13" s="179"/>
      <c r="H13" s="113"/>
      <c r="I13" s="177"/>
      <c r="J13" s="178"/>
      <c r="K13" s="178"/>
      <c r="L13" s="180"/>
      <c r="M13" s="181"/>
      <c r="N13" s="182"/>
      <c r="O13" s="183"/>
      <c r="P13" s="177"/>
      <c r="Q13" s="178"/>
      <c r="R13" s="178"/>
      <c r="S13" s="152"/>
      <c r="T13" s="179"/>
      <c r="U13" s="113"/>
      <c r="V13" s="177"/>
      <c r="W13" s="178"/>
      <c r="X13" s="178"/>
      <c r="Y13" s="180"/>
      <c r="Z13" s="181"/>
      <c r="AA13" s="182"/>
      <c r="AB13" s="183"/>
      <c r="AC13" s="177"/>
      <c r="AD13" s="178"/>
      <c r="AE13" s="178"/>
      <c r="AF13" s="152"/>
      <c r="AG13" s="179"/>
      <c r="AH13" s="113"/>
      <c r="AI13" s="177"/>
      <c r="AJ13" s="178"/>
      <c r="AK13" s="178"/>
      <c r="AL13" s="180"/>
      <c r="AM13" s="181"/>
      <c r="AN13" s="182"/>
      <c r="AO13" s="183"/>
      <c r="AP13" s="177"/>
      <c r="AQ13" s="178"/>
      <c r="AR13" s="178"/>
      <c r="AS13" s="152"/>
      <c r="AT13" s="179"/>
      <c r="AU13" s="113"/>
      <c r="AV13" s="177"/>
      <c r="AW13" s="178"/>
      <c r="AX13" s="178"/>
      <c r="AY13" s="180"/>
      <c r="AZ13" s="181"/>
      <c r="BA13" s="182"/>
      <c r="BB13" s="187"/>
      <c r="BC13" s="33">
        <v>9983.0</v>
      </c>
      <c r="BD13" s="184">
        <v>43235.0</v>
      </c>
      <c r="BE13" s="184">
        <v>43313.0</v>
      </c>
      <c r="BF13" s="152">
        <f>BE13-BD13</f>
        <v>78</v>
      </c>
      <c r="BG13" s="185">
        <f>0.0725*2/365</f>
        <v>0.000397260274</v>
      </c>
      <c r="BH13" s="113">
        <f>BC13*BF13*BG13</f>
        <v>309.3362466</v>
      </c>
      <c r="BI13" s="33">
        <v>313.0</v>
      </c>
      <c r="BJ13" s="184">
        <v>43245.0</v>
      </c>
      <c r="BK13" s="184">
        <v>43313.0</v>
      </c>
      <c r="BL13" s="180">
        <f>BK13-BJ13</f>
        <v>68</v>
      </c>
      <c r="BM13" s="188">
        <v>0.005</v>
      </c>
      <c r="BN13" s="182">
        <f>BI13*BL13*BM13</f>
        <v>106.42</v>
      </c>
      <c r="BO13" s="183">
        <f>BH13+BN13</f>
        <v>415.7562466</v>
      </c>
      <c r="BP13" s="33">
        <v>9983.0</v>
      </c>
      <c r="BQ13" s="184">
        <v>43266.0</v>
      </c>
      <c r="BR13" s="184">
        <v>43313.0</v>
      </c>
      <c r="BS13" s="152">
        <f>BR13-BQ13</f>
        <v>47</v>
      </c>
      <c r="BT13" s="185">
        <f>0.0725*2/365</f>
        <v>0.000397260274</v>
      </c>
      <c r="BU13" s="113">
        <f>BP13*BS13*BT13</f>
        <v>186.3949178</v>
      </c>
      <c r="BV13" s="33">
        <v>958.0</v>
      </c>
      <c r="BW13" s="184">
        <v>43276.0</v>
      </c>
      <c r="BX13" s="184">
        <v>43313.0</v>
      </c>
      <c r="BY13" s="180">
        <f>BX13-BW13</f>
        <v>37</v>
      </c>
      <c r="BZ13" s="188">
        <v>0.005</v>
      </c>
      <c r="CA13" s="182">
        <f>BV13*BY13*BZ13</f>
        <v>177.23</v>
      </c>
      <c r="CB13" s="183">
        <f>CA13+BU13</f>
        <v>363.6249178</v>
      </c>
      <c r="CC13" s="33">
        <v>9983.0</v>
      </c>
      <c r="CD13" s="184">
        <v>43296.0</v>
      </c>
      <c r="CE13" s="184">
        <v>43313.0</v>
      </c>
      <c r="CF13" s="152">
        <f>CE13-CD13</f>
        <v>17</v>
      </c>
      <c r="CG13" s="185">
        <f>0.0725*2/365</f>
        <v>0.000397260274</v>
      </c>
      <c r="CH13" s="113">
        <f>CC13*CF13*CG13</f>
        <v>67.41943836</v>
      </c>
      <c r="CI13" s="33">
        <v>1804.0</v>
      </c>
      <c r="CJ13" s="184">
        <v>43306.0</v>
      </c>
      <c r="CK13" s="184">
        <v>43313.0</v>
      </c>
      <c r="CL13" s="180">
        <f>CK13-CJ13</f>
        <v>7</v>
      </c>
      <c r="CM13" s="188">
        <v>0.005</v>
      </c>
      <c r="CN13" s="182">
        <f>CI13*CL13*CM13</f>
        <v>63.14</v>
      </c>
      <c r="CO13" s="183">
        <f>CH13+CN13</f>
        <v>130.5594384</v>
      </c>
      <c r="CP13" s="177"/>
      <c r="CQ13" s="178"/>
      <c r="CR13" s="178"/>
      <c r="CS13" s="152"/>
      <c r="CT13" s="179"/>
      <c r="CU13" s="113"/>
      <c r="CV13" s="177"/>
      <c r="CW13" s="178"/>
      <c r="CX13" s="178"/>
      <c r="CY13" s="180"/>
      <c r="CZ13" s="181"/>
      <c r="DA13" s="182"/>
      <c r="DB13" s="183"/>
      <c r="DC13" s="177"/>
      <c r="DD13" s="178"/>
      <c r="DE13" s="178"/>
      <c r="DF13" s="152"/>
      <c r="DG13" s="179"/>
      <c r="DH13" s="113"/>
      <c r="DI13" s="177"/>
      <c r="DJ13" s="178"/>
      <c r="DK13" s="178"/>
      <c r="DL13" s="180"/>
      <c r="DM13" s="181"/>
      <c r="DN13" s="182"/>
      <c r="DO13" s="183"/>
      <c r="DP13" s="177"/>
      <c r="DQ13" s="178"/>
      <c r="DR13" s="178"/>
      <c r="DS13" s="152"/>
      <c r="DT13" s="179"/>
      <c r="DU13" s="113"/>
      <c r="DV13" s="177"/>
      <c r="DW13" s="178"/>
      <c r="DX13" s="178"/>
      <c r="DY13" s="180"/>
      <c r="DZ13" s="181"/>
      <c r="EA13" s="182"/>
      <c r="EB13" s="183"/>
      <c r="EC13" s="177"/>
      <c r="ED13" s="178"/>
      <c r="EE13" s="178"/>
      <c r="EF13" s="152"/>
      <c r="EG13" s="179"/>
      <c r="EH13" s="113"/>
      <c r="EI13" s="177"/>
      <c r="EJ13" s="178"/>
      <c r="EK13" s="178"/>
      <c r="EL13" s="180"/>
      <c r="EM13" s="181"/>
      <c r="EN13" s="182"/>
      <c r="EO13" s="183"/>
      <c r="EP13" s="1"/>
      <c r="EQ13" s="1"/>
      <c r="ER13" s="1"/>
      <c r="ES13" s="1"/>
      <c r="ET13" s="1"/>
      <c r="EU13" s="41">
        <f t="shared" si="6"/>
        <v>909.9406027</v>
      </c>
      <c r="EV13" s="186"/>
      <c r="EW13" s="54"/>
      <c r="EX13" s="54"/>
      <c r="EY13" s="55"/>
      <c r="EZ13" s="61">
        <f t="shared" si="1"/>
        <v>0</v>
      </c>
      <c r="FA13" s="1"/>
    </row>
    <row r="14" ht="13.5" customHeight="1">
      <c r="A14" s="48" t="s">
        <v>85</v>
      </c>
      <c r="B14" s="49" t="s">
        <v>86</v>
      </c>
      <c r="C14" s="177"/>
      <c r="D14" s="178"/>
      <c r="E14" s="178"/>
      <c r="F14" s="152"/>
      <c r="G14" s="179"/>
      <c r="H14" s="113"/>
      <c r="I14" s="177"/>
      <c r="J14" s="178"/>
      <c r="K14" s="178"/>
      <c r="L14" s="180"/>
      <c r="M14" s="181"/>
      <c r="N14" s="182"/>
      <c r="O14" s="183"/>
      <c r="P14" s="177"/>
      <c r="Q14" s="178"/>
      <c r="R14" s="178"/>
      <c r="S14" s="152"/>
      <c r="T14" s="179"/>
      <c r="U14" s="113"/>
      <c r="V14" s="177"/>
      <c r="W14" s="178"/>
      <c r="X14" s="178"/>
      <c r="Y14" s="180"/>
      <c r="Z14" s="181"/>
      <c r="AA14" s="182"/>
      <c r="AB14" s="183"/>
      <c r="AC14" s="177"/>
      <c r="AD14" s="178"/>
      <c r="AE14" s="178"/>
      <c r="AF14" s="152"/>
      <c r="AG14" s="179"/>
      <c r="AH14" s="113"/>
      <c r="AI14" s="177"/>
      <c r="AJ14" s="178"/>
      <c r="AK14" s="178"/>
      <c r="AL14" s="180"/>
      <c r="AM14" s="181"/>
      <c r="AN14" s="182"/>
      <c r="AO14" s="183"/>
      <c r="AP14" s="177"/>
      <c r="AQ14" s="178"/>
      <c r="AR14" s="178"/>
      <c r="AS14" s="152"/>
      <c r="AT14" s="179"/>
      <c r="AU14" s="113"/>
      <c r="AV14" s="177"/>
      <c r="AW14" s="178"/>
      <c r="AX14" s="178"/>
      <c r="AY14" s="180"/>
      <c r="AZ14" s="181"/>
      <c r="BA14" s="182"/>
      <c r="BB14" s="187"/>
      <c r="BC14" s="177"/>
      <c r="BD14" s="178"/>
      <c r="BE14" s="178"/>
      <c r="BF14" s="152"/>
      <c r="BG14" s="179"/>
      <c r="BH14" s="113"/>
      <c r="BI14" s="177"/>
      <c r="BJ14" s="178"/>
      <c r="BK14" s="178"/>
      <c r="BL14" s="180"/>
      <c r="BM14" s="181"/>
      <c r="BN14" s="182"/>
      <c r="BO14" s="183"/>
      <c r="BP14" s="177"/>
      <c r="BQ14" s="178"/>
      <c r="BR14" s="178"/>
      <c r="BS14" s="152"/>
      <c r="BT14" s="179"/>
      <c r="BU14" s="113"/>
      <c r="BV14" s="177"/>
      <c r="BW14" s="178"/>
      <c r="BX14" s="178"/>
      <c r="BY14" s="180"/>
      <c r="BZ14" s="181"/>
      <c r="CA14" s="182"/>
      <c r="CB14" s="187"/>
      <c r="CC14" s="177"/>
      <c r="CD14" s="178"/>
      <c r="CE14" s="178"/>
      <c r="CF14" s="152"/>
      <c r="CG14" s="179"/>
      <c r="CH14" s="113"/>
      <c r="CI14" s="177"/>
      <c r="CJ14" s="178"/>
      <c r="CK14" s="178"/>
      <c r="CL14" s="180"/>
      <c r="CM14" s="181"/>
      <c r="CN14" s="182"/>
      <c r="CO14" s="183"/>
      <c r="CP14" s="177"/>
      <c r="CQ14" s="178"/>
      <c r="CR14" s="178"/>
      <c r="CS14" s="152"/>
      <c r="CT14" s="179"/>
      <c r="CU14" s="113"/>
      <c r="CV14" s="177"/>
      <c r="CW14" s="178"/>
      <c r="CX14" s="178"/>
      <c r="CY14" s="180"/>
      <c r="CZ14" s="181"/>
      <c r="DA14" s="182"/>
      <c r="DB14" s="183"/>
      <c r="DC14" s="177"/>
      <c r="DD14" s="178"/>
      <c r="DE14" s="178"/>
      <c r="DF14" s="152"/>
      <c r="DG14" s="179"/>
      <c r="DH14" s="113"/>
      <c r="DI14" s="177"/>
      <c r="DJ14" s="178"/>
      <c r="DK14" s="178"/>
      <c r="DL14" s="180"/>
      <c r="DM14" s="181"/>
      <c r="DN14" s="182"/>
      <c r="DO14" s="183"/>
      <c r="DP14" s="177"/>
      <c r="DQ14" s="178"/>
      <c r="DR14" s="178"/>
      <c r="DS14" s="152"/>
      <c r="DT14" s="179"/>
      <c r="DU14" s="113"/>
      <c r="DV14" s="177"/>
      <c r="DW14" s="178"/>
      <c r="DX14" s="178"/>
      <c r="DY14" s="180"/>
      <c r="DZ14" s="181"/>
      <c r="EA14" s="182"/>
      <c r="EB14" s="183"/>
      <c r="EC14" s="177"/>
      <c r="ED14" s="178"/>
      <c r="EE14" s="178"/>
      <c r="EF14" s="152"/>
      <c r="EG14" s="179"/>
      <c r="EH14" s="113"/>
      <c r="EI14" s="177"/>
      <c r="EJ14" s="178"/>
      <c r="EK14" s="178"/>
      <c r="EL14" s="180"/>
      <c r="EM14" s="181"/>
      <c r="EN14" s="182"/>
      <c r="EO14" s="183"/>
      <c r="EP14" s="1"/>
      <c r="EQ14" s="1"/>
      <c r="ER14" s="1"/>
      <c r="ES14" s="1"/>
      <c r="ET14" s="1"/>
      <c r="EU14" s="41">
        <f t="shared" si="6"/>
        <v>0</v>
      </c>
      <c r="EV14" s="186"/>
      <c r="EW14" s="54"/>
      <c r="EX14" s="54"/>
      <c r="EY14" s="55"/>
      <c r="EZ14" s="61">
        <f t="shared" si="1"/>
        <v>0</v>
      </c>
      <c r="FA14" s="1"/>
    </row>
    <row r="15" ht="13.5" customHeight="1">
      <c r="A15" s="48" t="s">
        <v>87</v>
      </c>
      <c r="B15" s="49" t="s">
        <v>88</v>
      </c>
      <c r="C15" s="177"/>
      <c r="D15" s="178"/>
      <c r="E15" s="178"/>
      <c r="F15" s="152"/>
      <c r="G15" s="179"/>
      <c r="H15" s="113"/>
      <c r="I15" s="177"/>
      <c r="J15" s="178"/>
      <c r="K15" s="178"/>
      <c r="L15" s="180"/>
      <c r="M15" s="181"/>
      <c r="N15" s="182"/>
      <c r="O15" s="183"/>
      <c r="P15" s="177"/>
      <c r="Q15" s="178"/>
      <c r="R15" s="178"/>
      <c r="S15" s="152"/>
      <c r="T15" s="179"/>
      <c r="U15" s="113"/>
      <c r="V15" s="177"/>
      <c r="W15" s="178"/>
      <c r="X15" s="178"/>
      <c r="Y15" s="180"/>
      <c r="Z15" s="181"/>
      <c r="AA15" s="182"/>
      <c r="AB15" s="183"/>
      <c r="AC15" s="177"/>
      <c r="AD15" s="178"/>
      <c r="AE15" s="178"/>
      <c r="AF15" s="152"/>
      <c r="AG15" s="179"/>
      <c r="AH15" s="113"/>
      <c r="AI15" s="177"/>
      <c r="AJ15" s="178"/>
      <c r="AK15" s="178"/>
      <c r="AL15" s="180"/>
      <c r="AM15" s="181"/>
      <c r="AN15" s="182"/>
      <c r="AO15" s="183"/>
      <c r="AP15" s="177"/>
      <c r="AQ15" s="178"/>
      <c r="AR15" s="178"/>
      <c r="AS15" s="152"/>
      <c r="AT15" s="179"/>
      <c r="AU15" s="113"/>
      <c r="AV15" s="177"/>
      <c r="AW15" s="178"/>
      <c r="AX15" s="178"/>
      <c r="AY15" s="180"/>
      <c r="AZ15" s="181"/>
      <c r="BA15" s="182"/>
      <c r="BB15" s="183"/>
      <c r="BC15" s="177"/>
      <c r="BD15" s="178"/>
      <c r="BE15" s="178"/>
      <c r="BF15" s="152"/>
      <c r="BG15" s="179"/>
      <c r="BH15" s="113"/>
      <c r="BI15" s="177"/>
      <c r="BJ15" s="178"/>
      <c r="BK15" s="178"/>
      <c r="BL15" s="180"/>
      <c r="BM15" s="181"/>
      <c r="BN15" s="182"/>
      <c r="BO15" s="183"/>
      <c r="BP15" s="177"/>
      <c r="BQ15" s="178"/>
      <c r="BR15" s="178"/>
      <c r="BS15" s="152"/>
      <c r="BT15" s="179"/>
      <c r="BU15" s="113"/>
      <c r="BV15" s="177"/>
      <c r="BW15" s="178"/>
      <c r="BX15" s="178"/>
      <c r="BY15" s="180"/>
      <c r="BZ15" s="181"/>
      <c r="CA15" s="182"/>
      <c r="CB15" s="183"/>
      <c r="CC15" s="177"/>
      <c r="CD15" s="178"/>
      <c r="CE15" s="178"/>
      <c r="CF15" s="152"/>
      <c r="CG15" s="179"/>
      <c r="CH15" s="113"/>
      <c r="CI15" s="177"/>
      <c r="CJ15" s="178"/>
      <c r="CK15" s="178"/>
      <c r="CL15" s="180"/>
      <c r="CM15" s="181"/>
      <c r="CN15" s="182"/>
      <c r="CO15" s="183"/>
      <c r="CP15" s="177"/>
      <c r="CQ15" s="178"/>
      <c r="CR15" s="178"/>
      <c r="CS15" s="152"/>
      <c r="CT15" s="179"/>
      <c r="CU15" s="113"/>
      <c r="CV15" s="177"/>
      <c r="CW15" s="178"/>
      <c r="CX15" s="178"/>
      <c r="CY15" s="180"/>
      <c r="CZ15" s="181"/>
      <c r="DA15" s="182"/>
      <c r="DB15" s="183"/>
      <c r="DC15" s="177"/>
      <c r="DD15" s="178"/>
      <c r="DE15" s="178"/>
      <c r="DF15" s="152"/>
      <c r="DG15" s="179"/>
      <c r="DH15" s="113"/>
      <c r="DI15" s="177"/>
      <c r="DJ15" s="178"/>
      <c r="DK15" s="178"/>
      <c r="DL15" s="180"/>
      <c r="DM15" s="181"/>
      <c r="DN15" s="182"/>
      <c r="DO15" s="183"/>
      <c r="DP15" s="177"/>
      <c r="DQ15" s="178"/>
      <c r="DR15" s="178"/>
      <c r="DS15" s="152"/>
      <c r="DT15" s="179"/>
      <c r="DU15" s="113"/>
      <c r="DV15" s="177"/>
      <c r="DW15" s="178"/>
      <c r="DX15" s="178"/>
      <c r="DY15" s="180"/>
      <c r="DZ15" s="181"/>
      <c r="EA15" s="182"/>
      <c r="EB15" s="183"/>
      <c r="EC15" s="177"/>
      <c r="ED15" s="178"/>
      <c r="EE15" s="178"/>
      <c r="EF15" s="152"/>
      <c r="EG15" s="179"/>
      <c r="EH15" s="113"/>
      <c r="EI15" s="177"/>
      <c r="EJ15" s="178"/>
      <c r="EK15" s="178"/>
      <c r="EL15" s="180"/>
      <c r="EM15" s="181"/>
      <c r="EN15" s="182"/>
      <c r="EO15" s="183"/>
      <c r="EP15" s="1"/>
      <c r="EQ15" s="1"/>
      <c r="ER15" s="1"/>
      <c r="ES15" s="1"/>
      <c r="ET15" s="1"/>
      <c r="EU15" s="41">
        <f t="shared" si="6"/>
        <v>0</v>
      </c>
      <c r="EV15" s="186"/>
      <c r="EW15" s="54"/>
      <c r="EX15" s="54"/>
      <c r="EY15" s="55"/>
      <c r="EZ15" s="61">
        <f t="shared" si="1"/>
        <v>0</v>
      </c>
      <c r="FA15" s="1"/>
    </row>
    <row r="16" ht="13.5" customHeight="1">
      <c r="A16" s="48" t="s">
        <v>89</v>
      </c>
      <c r="B16" s="49" t="s">
        <v>90</v>
      </c>
      <c r="C16" s="177"/>
      <c r="D16" s="189"/>
      <c r="E16" s="189"/>
      <c r="F16" s="190"/>
      <c r="G16" s="179"/>
      <c r="H16" s="113"/>
      <c r="I16" s="177"/>
      <c r="J16" s="189"/>
      <c r="K16" s="189"/>
      <c r="L16" s="180"/>
      <c r="M16" s="181"/>
      <c r="N16" s="182"/>
      <c r="O16" s="183"/>
      <c r="P16" s="33"/>
      <c r="Q16" s="189"/>
      <c r="R16" s="189"/>
      <c r="S16" s="190"/>
      <c r="T16" s="179"/>
      <c r="U16" s="113"/>
      <c r="V16" s="33">
        <v>2081.0</v>
      </c>
      <c r="W16" s="191">
        <v>43156.0</v>
      </c>
      <c r="X16" s="191">
        <v>43313.0</v>
      </c>
      <c r="Y16" s="180">
        <f>X16-W16</f>
        <v>157</v>
      </c>
      <c r="Z16" s="188">
        <v>0.005</v>
      </c>
      <c r="AA16" s="182">
        <f>V16*Y16*Z16</f>
        <v>1633.585</v>
      </c>
      <c r="AB16" s="183">
        <f>AA16+U16</f>
        <v>1633.585</v>
      </c>
      <c r="AC16" s="33">
        <v>7450.0</v>
      </c>
      <c r="AD16" s="191">
        <v>43174.0</v>
      </c>
      <c r="AE16" s="191">
        <v>43313.0</v>
      </c>
      <c r="AF16" s="190">
        <f>AE16-AD16</f>
        <v>139</v>
      </c>
      <c r="AG16" s="185">
        <f>0.0725*2/365</f>
        <v>0.000397260274</v>
      </c>
      <c r="AH16" s="113">
        <f>AC16*AF16*AG16</f>
        <v>411.3828767</v>
      </c>
      <c r="AI16" s="33">
        <v>2500.0</v>
      </c>
      <c r="AJ16" s="191">
        <v>43184.0</v>
      </c>
      <c r="AK16" s="191">
        <v>43313.0</v>
      </c>
      <c r="AL16" s="180">
        <f>AK16-AJ16</f>
        <v>129</v>
      </c>
      <c r="AM16" s="188">
        <v>0.005</v>
      </c>
      <c r="AN16" s="182">
        <f>AI16*AL16*AM16</f>
        <v>1612.5</v>
      </c>
      <c r="AO16" s="183">
        <f>AH16+AN16</f>
        <v>2023.882877</v>
      </c>
      <c r="AP16" s="33">
        <v>7450.0</v>
      </c>
      <c r="AQ16" s="191">
        <v>43205.0</v>
      </c>
      <c r="AR16" s="191">
        <v>43313.0</v>
      </c>
      <c r="AS16" s="190">
        <f>AR16-AQ16</f>
        <v>108</v>
      </c>
      <c r="AT16" s="185">
        <f>0.0725*2/365</f>
        <v>0.000397260274</v>
      </c>
      <c r="AU16" s="113">
        <f>AP16*AS16*AT16</f>
        <v>319.6356164</v>
      </c>
      <c r="AV16" s="33">
        <v>3783.0</v>
      </c>
      <c r="AW16" s="191">
        <v>43215.0</v>
      </c>
      <c r="AX16" s="191">
        <v>43313.0</v>
      </c>
      <c r="AY16" s="180">
        <f>AX16-AW16</f>
        <v>98</v>
      </c>
      <c r="AZ16" s="188">
        <v>0.005</v>
      </c>
      <c r="BA16" s="182">
        <f>AV16*AY16*AZ16</f>
        <v>1853.67</v>
      </c>
      <c r="BB16" s="183">
        <f>AU16+BA16</f>
        <v>2173.305616</v>
      </c>
      <c r="BC16" s="33">
        <v>7450.0</v>
      </c>
      <c r="BD16" s="184">
        <v>43235.0</v>
      </c>
      <c r="BE16" s="184">
        <v>43313.0</v>
      </c>
      <c r="BF16" s="152">
        <f>BE16-BD16</f>
        <v>78</v>
      </c>
      <c r="BG16" s="185">
        <f>0.0725*2/365</f>
        <v>0.000397260274</v>
      </c>
      <c r="BH16" s="113">
        <f>BC16*BF16*BG16</f>
        <v>230.8479452</v>
      </c>
      <c r="BI16" s="33">
        <v>4505.0</v>
      </c>
      <c r="BJ16" s="184">
        <v>43245.0</v>
      </c>
      <c r="BK16" s="184">
        <v>43313.0</v>
      </c>
      <c r="BL16" s="180">
        <f>BK16-BJ16</f>
        <v>68</v>
      </c>
      <c r="BM16" s="188">
        <v>0.005</v>
      </c>
      <c r="BN16" s="182">
        <f>BI16*BL16*BM16</f>
        <v>1531.7</v>
      </c>
      <c r="BO16" s="183">
        <f>BH16+BN16</f>
        <v>1762.547945</v>
      </c>
      <c r="BP16" s="33">
        <v>7450.0</v>
      </c>
      <c r="BQ16" s="184">
        <v>43266.0</v>
      </c>
      <c r="BR16" s="184">
        <v>43313.0</v>
      </c>
      <c r="BS16" s="152">
        <f>BR16-BQ16</f>
        <v>47</v>
      </c>
      <c r="BT16" s="185">
        <f>0.0725*2/365</f>
        <v>0.000397260274</v>
      </c>
      <c r="BU16" s="113">
        <f>BP16*BS16*BT16</f>
        <v>139.1006849</v>
      </c>
      <c r="BV16" s="33">
        <v>1431.0</v>
      </c>
      <c r="BW16" s="184">
        <v>43276.0</v>
      </c>
      <c r="BX16" s="184">
        <v>43313.0</v>
      </c>
      <c r="BY16" s="180">
        <f>BX16-BW16</f>
        <v>37</v>
      </c>
      <c r="BZ16" s="188">
        <v>0.005</v>
      </c>
      <c r="CA16" s="182">
        <f>BV16*BY16*BZ16</f>
        <v>264.735</v>
      </c>
      <c r="CB16" s="183">
        <f>CA16+BU16</f>
        <v>403.8356849</v>
      </c>
      <c r="CC16" s="33">
        <v>7450.0</v>
      </c>
      <c r="CD16" s="184">
        <v>43296.0</v>
      </c>
      <c r="CE16" s="184">
        <v>43313.0</v>
      </c>
      <c r="CF16" s="152">
        <f>CE16-CD16</f>
        <v>17</v>
      </c>
      <c r="CG16" s="185">
        <f>0.0725*2/365</f>
        <v>0.000397260274</v>
      </c>
      <c r="CH16" s="113">
        <f>CC16*CF16*CG16</f>
        <v>50.3130137</v>
      </c>
      <c r="CI16" s="33">
        <v>1660.0</v>
      </c>
      <c r="CJ16" s="184">
        <v>43306.0</v>
      </c>
      <c r="CK16" s="184">
        <v>43313.0</v>
      </c>
      <c r="CL16" s="180">
        <f>CK16-CJ16</f>
        <v>7</v>
      </c>
      <c r="CM16" s="188">
        <v>0.005</v>
      </c>
      <c r="CN16" s="182">
        <f>CI16*CL16*CM16</f>
        <v>58.1</v>
      </c>
      <c r="CO16" s="183">
        <f>CH16+CN16</f>
        <v>108.4130137</v>
      </c>
      <c r="CP16" s="177"/>
      <c r="CQ16" s="178"/>
      <c r="CR16" s="178"/>
      <c r="CS16" s="152"/>
      <c r="CT16" s="179"/>
      <c r="CU16" s="113"/>
      <c r="CV16" s="177"/>
      <c r="CW16" s="178"/>
      <c r="CX16" s="178"/>
      <c r="CY16" s="180"/>
      <c r="CZ16" s="181"/>
      <c r="DA16" s="182"/>
      <c r="DB16" s="183"/>
      <c r="DC16" s="177"/>
      <c r="DD16" s="178"/>
      <c r="DE16" s="178"/>
      <c r="DF16" s="152"/>
      <c r="DG16" s="179"/>
      <c r="DH16" s="113"/>
      <c r="DI16" s="177"/>
      <c r="DJ16" s="178"/>
      <c r="DK16" s="178"/>
      <c r="DL16" s="180"/>
      <c r="DM16" s="181"/>
      <c r="DN16" s="182"/>
      <c r="DO16" s="183"/>
      <c r="DP16" s="177"/>
      <c r="DQ16" s="178"/>
      <c r="DR16" s="178"/>
      <c r="DS16" s="152"/>
      <c r="DT16" s="179"/>
      <c r="DU16" s="113"/>
      <c r="DV16" s="177"/>
      <c r="DW16" s="178"/>
      <c r="DX16" s="178"/>
      <c r="DY16" s="180"/>
      <c r="DZ16" s="181"/>
      <c r="EA16" s="182"/>
      <c r="EB16" s="183"/>
      <c r="EC16" s="177"/>
      <c r="ED16" s="178"/>
      <c r="EE16" s="178"/>
      <c r="EF16" s="152"/>
      <c r="EG16" s="179"/>
      <c r="EH16" s="113"/>
      <c r="EI16" s="177"/>
      <c r="EJ16" s="178"/>
      <c r="EK16" s="178"/>
      <c r="EL16" s="180"/>
      <c r="EM16" s="181"/>
      <c r="EN16" s="182"/>
      <c r="EO16" s="183"/>
      <c r="EP16" s="1"/>
      <c r="EQ16" s="1"/>
      <c r="ER16" s="1"/>
      <c r="ES16" s="1"/>
      <c r="ET16" s="1"/>
      <c r="EU16" s="41">
        <f t="shared" si="6"/>
        <v>8105.570137</v>
      </c>
      <c r="EV16" s="186"/>
      <c r="EW16" s="51"/>
      <c r="EX16" s="54"/>
      <c r="EY16" s="55"/>
      <c r="EZ16" s="61">
        <f t="shared" si="1"/>
        <v>0</v>
      </c>
      <c r="FA16" s="1"/>
    </row>
    <row r="17" ht="13.5" customHeight="1">
      <c r="A17" s="48" t="s">
        <v>93</v>
      </c>
      <c r="B17" s="49" t="s">
        <v>94</v>
      </c>
      <c r="C17" s="177"/>
      <c r="D17" s="178"/>
      <c r="E17" s="178"/>
      <c r="F17" s="152"/>
      <c r="G17" s="179"/>
      <c r="H17" s="113"/>
      <c r="I17" s="177"/>
      <c r="J17" s="178"/>
      <c r="K17" s="178"/>
      <c r="L17" s="180"/>
      <c r="M17" s="181"/>
      <c r="N17" s="182"/>
      <c r="O17" s="183"/>
      <c r="P17" s="177"/>
      <c r="Q17" s="178"/>
      <c r="R17" s="178"/>
      <c r="S17" s="152"/>
      <c r="T17" s="179"/>
      <c r="U17" s="113"/>
      <c r="V17" s="177"/>
      <c r="W17" s="178"/>
      <c r="X17" s="178"/>
      <c r="Y17" s="180"/>
      <c r="Z17" s="181"/>
      <c r="AA17" s="182"/>
      <c r="AB17" s="183"/>
      <c r="AC17" s="177"/>
      <c r="AD17" s="178"/>
      <c r="AE17" s="178"/>
      <c r="AF17" s="152"/>
      <c r="AG17" s="179"/>
      <c r="AH17" s="113"/>
      <c r="AI17" s="177"/>
      <c r="AJ17" s="178"/>
      <c r="AK17" s="178"/>
      <c r="AL17" s="180"/>
      <c r="AM17" s="181"/>
      <c r="AN17" s="182"/>
      <c r="AO17" s="183"/>
      <c r="AP17" s="177"/>
      <c r="AQ17" s="178"/>
      <c r="AR17" s="178"/>
      <c r="AS17" s="152"/>
      <c r="AT17" s="179"/>
      <c r="AU17" s="113"/>
      <c r="AV17" s="177"/>
      <c r="AW17" s="178"/>
      <c r="AX17" s="178"/>
      <c r="AY17" s="180"/>
      <c r="AZ17" s="181"/>
      <c r="BA17" s="182"/>
      <c r="BB17" s="183"/>
      <c r="BC17" s="177"/>
      <c r="BD17" s="178"/>
      <c r="BE17" s="178"/>
      <c r="BF17" s="152"/>
      <c r="BG17" s="179"/>
      <c r="BH17" s="113"/>
      <c r="BI17" s="177"/>
      <c r="BJ17" s="178"/>
      <c r="BK17" s="178"/>
      <c r="BL17" s="180"/>
      <c r="BM17" s="181"/>
      <c r="BN17" s="182"/>
      <c r="BO17" s="183"/>
      <c r="BP17" s="177"/>
      <c r="BQ17" s="178"/>
      <c r="BR17" s="178"/>
      <c r="BS17" s="152"/>
      <c r="BT17" s="179"/>
      <c r="BU17" s="113"/>
      <c r="BV17" s="177"/>
      <c r="BW17" s="178"/>
      <c r="BX17" s="178"/>
      <c r="BY17" s="180"/>
      <c r="BZ17" s="181"/>
      <c r="CA17" s="182"/>
      <c r="CB17" s="183"/>
      <c r="CC17" s="177"/>
      <c r="CD17" s="178"/>
      <c r="CE17" s="178"/>
      <c r="CF17" s="152"/>
      <c r="CG17" s="179"/>
      <c r="CH17" s="113"/>
      <c r="CI17" s="177"/>
      <c r="CJ17" s="178"/>
      <c r="CK17" s="178"/>
      <c r="CL17" s="180"/>
      <c r="CM17" s="181"/>
      <c r="CN17" s="182"/>
      <c r="CO17" s="183"/>
      <c r="CP17" s="177"/>
      <c r="CQ17" s="178"/>
      <c r="CR17" s="178"/>
      <c r="CS17" s="152"/>
      <c r="CT17" s="179"/>
      <c r="CU17" s="113"/>
      <c r="CV17" s="177"/>
      <c r="CW17" s="178"/>
      <c r="CX17" s="178"/>
      <c r="CY17" s="180"/>
      <c r="CZ17" s="181"/>
      <c r="DA17" s="182"/>
      <c r="DB17" s="183"/>
      <c r="DC17" s="177"/>
      <c r="DD17" s="178"/>
      <c r="DE17" s="178"/>
      <c r="DF17" s="152"/>
      <c r="DG17" s="179"/>
      <c r="DH17" s="113"/>
      <c r="DI17" s="177"/>
      <c r="DJ17" s="178"/>
      <c r="DK17" s="178"/>
      <c r="DL17" s="180"/>
      <c r="DM17" s="181"/>
      <c r="DN17" s="182"/>
      <c r="DO17" s="183"/>
      <c r="DP17" s="177"/>
      <c r="DQ17" s="178"/>
      <c r="DR17" s="178"/>
      <c r="DS17" s="152"/>
      <c r="DT17" s="179"/>
      <c r="DU17" s="113"/>
      <c r="DV17" s="177"/>
      <c r="DW17" s="178"/>
      <c r="DX17" s="178"/>
      <c r="DY17" s="180"/>
      <c r="DZ17" s="181"/>
      <c r="EA17" s="182"/>
      <c r="EB17" s="183"/>
      <c r="EC17" s="177"/>
      <c r="ED17" s="178"/>
      <c r="EE17" s="178"/>
      <c r="EF17" s="152"/>
      <c r="EG17" s="179"/>
      <c r="EH17" s="113"/>
      <c r="EI17" s="177"/>
      <c r="EJ17" s="178"/>
      <c r="EK17" s="178"/>
      <c r="EL17" s="180"/>
      <c r="EM17" s="181"/>
      <c r="EN17" s="182"/>
      <c r="EO17" s="183"/>
      <c r="EP17" s="1"/>
      <c r="EQ17" s="1"/>
      <c r="ER17" s="1"/>
      <c r="ES17" s="1"/>
      <c r="ET17" s="1"/>
      <c r="EU17" s="41">
        <f t="shared" si="6"/>
        <v>0</v>
      </c>
      <c r="EV17" s="186"/>
      <c r="EW17" s="54"/>
      <c r="EX17" s="54"/>
      <c r="EY17" s="55"/>
      <c r="EZ17" s="61">
        <f t="shared" si="1"/>
        <v>0</v>
      </c>
      <c r="FA17" s="1"/>
    </row>
    <row r="18" ht="13.5" customHeight="1">
      <c r="A18" s="48" t="s">
        <v>95</v>
      </c>
      <c r="B18" s="49" t="s">
        <v>96</v>
      </c>
      <c r="C18" s="177"/>
      <c r="D18" s="178"/>
      <c r="E18" s="178"/>
      <c r="F18" s="152"/>
      <c r="G18" s="179"/>
      <c r="H18" s="113"/>
      <c r="I18" s="177"/>
      <c r="J18" s="178"/>
      <c r="K18" s="178"/>
      <c r="L18" s="180"/>
      <c r="M18" s="181"/>
      <c r="N18" s="182"/>
      <c r="O18" s="187"/>
      <c r="P18" s="177"/>
      <c r="Q18" s="178"/>
      <c r="R18" s="178"/>
      <c r="S18" s="152"/>
      <c r="T18" s="179"/>
      <c r="U18" s="113"/>
      <c r="V18" s="177"/>
      <c r="W18" s="178"/>
      <c r="X18" s="178"/>
      <c r="Y18" s="180"/>
      <c r="Z18" s="181"/>
      <c r="AA18" s="182"/>
      <c r="AB18" s="187"/>
      <c r="AC18" s="177"/>
      <c r="AD18" s="178"/>
      <c r="AE18" s="178"/>
      <c r="AF18" s="152"/>
      <c r="AG18" s="179"/>
      <c r="AH18" s="113"/>
      <c r="AI18" s="177"/>
      <c r="AJ18" s="178"/>
      <c r="AK18" s="178"/>
      <c r="AL18" s="180"/>
      <c r="AM18" s="181"/>
      <c r="AN18" s="182"/>
      <c r="AO18" s="187"/>
      <c r="AP18" s="177"/>
      <c r="AQ18" s="178"/>
      <c r="AR18" s="178"/>
      <c r="AS18" s="152"/>
      <c r="AT18" s="179"/>
      <c r="AU18" s="113"/>
      <c r="AV18" s="177"/>
      <c r="AW18" s="178"/>
      <c r="AX18" s="178"/>
      <c r="AY18" s="180"/>
      <c r="AZ18" s="181"/>
      <c r="BA18" s="182"/>
      <c r="BB18" s="187"/>
      <c r="BC18" s="177"/>
      <c r="BD18" s="178"/>
      <c r="BE18" s="178"/>
      <c r="BF18" s="152"/>
      <c r="BG18" s="179"/>
      <c r="BH18" s="113"/>
      <c r="BI18" s="177"/>
      <c r="BJ18" s="178"/>
      <c r="BK18" s="178"/>
      <c r="BL18" s="180"/>
      <c r="BM18" s="181"/>
      <c r="BN18" s="182"/>
      <c r="BO18" s="187"/>
      <c r="BP18" s="177"/>
      <c r="BQ18" s="178"/>
      <c r="BR18" s="178"/>
      <c r="BS18" s="152"/>
      <c r="BT18" s="179"/>
      <c r="BU18" s="113"/>
      <c r="BV18" s="177"/>
      <c r="BW18" s="178"/>
      <c r="BX18" s="178"/>
      <c r="BY18" s="180"/>
      <c r="BZ18" s="181"/>
      <c r="CA18" s="182"/>
      <c r="CB18" s="183"/>
      <c r="CC18" s="177"/>
      <c r="CD18" s="178"/>
      <c r="CE18" s="178"/>
      <c r="CF18" s="152"/>
      <c r="CG18" s="179"/>
      <c r="CH18" s="113"/>
      <c r="CI18" s="177"/>
      <c r="CJ18" s="178"/>
      <c r="CK18" s="178"/>
      <c r="CL18" s="180"/>
      <c r="CM18" s="181"/>
      <c r="CN18" s="182"/>
      <c r="CO18" s="183"/>
      <c r="CP18" s="177"/>
      <c r="CQ18" s="178"/>
      <c r="CR18" s="178"/>
      <c r="CS18" s="152"/>
      <c r="CT18" s="179"/>
      <c r="CU18" s="113"/>
      <c r="CV18" s="177"/>
      <c r="CW18" s="178"/>
      <c r="CX18" s="178"/>
      <c r="CY18" s="180"/>
      <c r="CZ18" s="181"/>
      <c r="DA18" s="182"/>
      <c r="DB18" s="183"/>
      <c r="DC18" s="177"/>
      <c r="DD18" s="178"/>
      <c r="DE18" s="178"/>
      <c r="DF18" s="152"/>
      <c r="DG18" s="179"/>
      <c r="DH18" s="113"/>
      <c r="DI18" s="177"/>
      <c r="DJ18" s="178"/>
      <c r="DK18" s="178"/>
      <c r="DL18" s="180"/>
      <c r="DM18" s="181"/>
      <c r="DN18" s="182"/>
      <c r="DO18" s="183"/>
      <c r="DP18" s="177"/>
      <c r="DQ18" s="178"/>
      <c r="DR18" s="178"/>
      <c r="DS18" s="152"/>
      <c r="DT18" s="179"/>
      <c r="DU18" s="113"/>
      <c r="DV18" s="177"/>
      <c r="DW18" s="178"/>
      <c r="DX18" s="178"/>
      <c r="DY18" s="180"/>
      <c r="DZ18" s="181"/>
      <c r="EA18" s="182"/>
      <c r="EB18" s="183"/>
      <c r="EC18" s="177"/>
      <c r="ED18" s="178"/>
      <c r="EE18" s="178"/>
      <c r="EF18" s="152"/>
      <c r="EG18" s="179"/>
      <c r="EH18" s="113"/>
      <c r="EI18" s="177"/>
      <c r="EJ18" s="178"/>
      <c r="EK18" s="178"/>
      <c r="EL18" s="180"/>
      <c r="EM18" s="181"/>
      <c r="EN18" s="182"/>
      <c r="EO18" s="183"/>
      <c r="EP18" s="1"/>
      <c r="EQ18" s="1"/>
      <c r="ER18" s="1"/>
      <c r="ES18" s="1"/>
      <c r="ET18" s="1"/>
      <c r="EU18" s="41">
        <f t="shared" si="6"/>
        <v>0</v>
      </c>
      <c r="EV18" s="186"/>
      <c r="EW18" s="54"/>
      <c r="EX18" s="54"/>
      <c r="EY18" s="55"/>
      <c r="EZ18" s="61">
        <f t="shared" si="1"/>
        <v>0</v>
      </c>
      <c r="FA18" s="1"/>
    </row>
    <row r="19" ht="13.5" customHeight="1">
      <c r="A19" s="48" t="s">
        <v>98</v>
      </c>
      <c r="B19" s="49" t="s">
        <v>100</v>
      </c>
      <c r="C19" s="177"/>
      <c r="D19" s="178"/>
      <c r="E19" s="178"/>
      <c r="F19" s="152"/>
      <c r="G19" s="179"/>
      <c r="H19" s="113"/>
      <c r="I19" s="177"/>
      <c r="J19" s="178"/>
      <c r="K19" s="178"/>
      <c r="L19" s="180"/>
      <c r="M19" s="181"/>
      <c r="N19" s="182"/>
      <c r="O19" s="187"/>
      <c r="P19" s="177"/>
      <c r="Q19" s="178"/>
      <c r="R19" s="178"/>
      <c r="S19" s="152"/>
      <c r="T19" s="179"/>
      <c r="U19" s="113"/>
      <c r="V19" s="177"/>
      <c r="W19" s="178"/>
      <c r="X19" s="178"/>
      <c r="Y19" s="180"/>
      <c r="Z19" s="181"/>
      <c r="AA19" s="182"/>
      <c r="AB19" s="187"/>
      <c r="AC19" s="177"/>
      <c r="AD19" s="178"/>
      <c r="AE19" s="178"/>
      <c r="AF19" s="152"/>
      <c r="AG19" s="179"/>
      <c r="AH19" s="113"/>
      <c r="AI19" s="33">
        <v>5726.0</v>
      </c>
      <c r="AJ19" s="191">
        <v>43184.0</v>
      </c>
      <c r="AK19" s="191">
        <v>43313.0</v>
      </c>
      <c r="AL19" s="180">
        <f>AK19-AJ19</f>
        <v>129</v>
      </c>
      <c r="AM19" s="188">
        <v>0.005</v>
      </c>
      <c r="AN19" s="182">
        <f>AI19*AL19*AM19</f>
        <v>3693.27</v>
      </c>
      <c r="AO19" s="183">
        <f>AH19+AN19</f>
        <v>3693.27</v>
      </c>
      <c r="AP19" s="177"/>
      <c r="AQ19" s="178"/>
      <c r="AR19" s="178"/>
      <c r="AS19" s="152"/>
      <c r="AT19" s="179"/>
      <c r="AU19" s="113"/>
      <c r="AV19" s="33">
        <v>9121.0</v>
      </c>
      <c r="AW19" s="191">
        <v>43215.0</v>
      </c>
      <c r="AX19" s="191">
        <v>43313.0</v>
      </c>
      <c r="AY19" s="180">
        <f>AX19-AW19</f>
        <v>98</v>
      </c>
      <c r="AZ19" s="188">
        <v>0.005</v>
      </c>
      <c r="BA19" s="182">
        <f>AV19*AY19*AZ19</f>
        <v>4469.29</v>
      </c>
      <c r="BB19" s="183">
        <f>AU19+BA19</f>
        <v>4469.29</v>
      </c>
      <c r="BC19" s="177"/>
      <c r="BD19" s="178"/>
      <c r="BE19" s="178"/>
      <c r="BF19" s="152"/>
      <c r="BG19" s="179"/>
      <c r="BH19" s="113"/>
      <c r="BI19" s="33">
        <v>2972.0</v>
      </c>
      <c r="BJ19" s="184">
        <v>43245.0</v>
      </c>
      <c r="BK19" s="184">
        <v>43313.0</v>
      </c>
      <c r="BL19" s="180">
        <f>BK19-BJ19</f>
        <v>68</v>
      </c>
      <c r="BM19" s="188">
        <v>0.005</v>
      </c>
      <c r="BN19" s="182">
        <f>BI19*BL19*BM19</f>
        <v>1010.48</v>
      </c>
      <c r="BO19" s="183">
        <f>BH19+BN19</f>
        <v>1010.48</v>
      </c>
      <c r="BP19" s="177"/>
      <c r="BQ19" s="178"/>
      <c r="BR19" s="178"/>
      <c r="BS19" s="152"/>
      <c r="BT19" s="179"/>
      <c r="BU19" s="113"/>
      <c r="BV19" s="33">
        <v>1696.0</v>
      </c>
      <c r="BW19" s="184">
        <v>43276.0</v>
      </c>
      <c r="BX19" s="184">
        <v>43313.0</v>
      </c>
      <c r="BY19" s="180">
        <f>BX19-BW19</f>
        <v>37</v>
      </c>
      <c r="BZ19" s="188">
        <v>0.005</v>
      </c>
      <c r="CA19" s="182">
        <f>BV19*BY19*BZ19</f>
        <v>313.76</v>
      </c>
      <c r="CB19" s="183">
        <f>CA19+BU19</f>
        <v>313.76</v>
      </c>
      <c r="CC19" s="177"/>
      <c r="CD19" s="178"/>
      <c r="CE19" s="178"/>
      <c r="CF19" s="152"/>
      <c r="CG19" s="179"/>
      <c r="CH19" s="113"/>
      <c r="CI19" s="33">
        <v>1108.0</v>
      </c>
      <c r="CJ19" s="184">
        <v>43306.0</v>
      </c>
      <c r="CK19" s="184">
        <v>43313.0</v>
      </c>
      <c r="CL19" s="180">
        <f>CK19-CJ19</f>
        <v>7</v>
      </c>
      <c r="CM19" s="188">
        <v>0.005</v>
      </c>
      <c r="CN19" s="182">
        <f>CI19*CL19*CM19</f>
        <v>38.78</v>
      </c>
      <c r="CO19" s="183">
        <f>CH19+CN19</f>
        <v>38.78</v>
      </c>
      <c r="CP19" s="177"/>
      <c r="CQ19" s="178"/>
      <c r="CR19" s="178"/>
      <c r="CS19" s="152"/>
      <c r="CT19" s="179"/>
      <c r="CU19" s="113"/>
      <c r="CV19" s="177"/>
      <c r="CW19" s="178"/>
      <c r="CX19" s="178"/>
      <c r="CY19" s="180"/>
      <c r="CZ19" s="181"/>
      <c r="DA19" s="182"/>
      <c r="DB19" s="183"/>
      <c r="DC19" s="177"/>
      <c r="DD19" s="178"/>
      <c r="DE19" s="178"/>
      <c r="DF19" s="152"/>
      <c r="DG19" s="179"/>
      <c r="DH19" s="113"/>
      <c r="DI19" s="177"/>
      <c r="DJ19" s="178"/>
      <c r="DK19" s="178"/>
      <c r="DL19" s="180"/>
      <c r="DM19" s="181"/>
      <c r="DN19" s="182"/>
      <c r="DO19" s="183"/>
      <c r="DP19" s="177"/>
      <c r="DQ19" s="178"/>
      <c r="DR19" s="178"/>
      <c r="DS19" s="152"/>
      <c r="DT19" s="179"/>
      <c r="DU19" s="113"/>
      <c r="DV19" s="177"/>
      <c r="DW19" s="178"/>
      <c r="DX19" s="178"/>
      <c r="DY19" s="180"/>
      <c r="DZ19" s="181"/>
      <c r="EA19" s="182"/>
      <c r="EB19" s="183"/>
      <c r="EC19" s="177"/>
      <c r="ED19" s="178"/>
      <c r="EE19" s="178"/>
      <c r="EF19" s="152"/>
      <c r="EG19" s="179"/>
      <c r="EH19" s="113"/>
      <c r="EI19" s="177"/>
      <c r="EJ19" s="178"/>
      <c r="EK19" s="178"/>
      <c r="EL19" s="180"/>
      <c r="EM19" s="181"/>
      <c r="EN19" s="182"/>
      <c r="EO19" s="183"/>
      <c r="EP19" s="1"/>
      <c r="EQ19" s="1"/>
      <c r="ER19" s="1"/>
      <c r="ES19" s="1"/>
      <c r="ET19" s="1"/>
      <c r="EU19" s="41">
        <f t="shared" si="6"/>
        <v>9525.58</v>
      </c>
      <c r="EV19" s="186"/>
      <c r="EW19" s="54"/>
      <c r="EX19" s="54"/>
      <c r="EY19" s="55"/>
      <c r="EZ19" s="61">
        <f t="shared" si="1"/>
        <v>0</v>
      </c>
      <c r="FA19" s="1"/>
    </row>
    <row r="20" ht="13.5" customHeight="1">
      <c r="A20" s="48" t="s">
        <v>102</v>
      </c>
      <c r="B20" s="49" t="s">
        <v>103</v>
      </c>
      <c r="C20" s="177"/>
      <c r="D20" s="178"/>
      <c r="E20" s="178"/>
      <c r="F20" s="152"/>
      <c r="G20" s="179"/>
      <c r="H20" s="113"/>
      <c r="I20" s="177"/>
      <c r="J20" s="178"/>
      <c r="K20" s="178"/>
      <c r="L20" s="180"/>
      <c r="M20" s="181"/>
      <c r="N20" s="182"/>
      <c r="O20" s="187"/>
      <c r="P20" s="177"/>
      <c r="Q20" s="178"/>
      <c r="R20" s="178"/>
      <c r="S20" s="152"/>
      <c r="T20" s="179"/>
      <c r="U20" s="113"/>
      <c r="V20" s="177"/>
      <c r="W20" s="178"/>
      <c r="X20" s="178"/>
      <c r="Y20" s="180"/>
      <c r="Z20" s="181"/>
      <c r="AA20" s="182"/>
      <c r="AB20" s="187"/>
      <c r="AC20" s="177"/>
      <c r="AD20" s="178"/>
      <c r="AE20" s="178"/>
      <c r="AF20" s="152"/>
      <c r="AG20" s="179"/>
      <c r="AH20" s="113"/>
      <c r="AI20" s="177"/>
      <c r="AJ20" s="178"/>
      <c r="AK20" s="178"/>
      <c r="AL20" s="180"/>
      <c r="AM20" s="181"/>
      <c r="AN20" s="182"/>
      <c r="AO20" s="183"/>
      <c r="AP20" s="177"/>
      <c r="AQ20" s="178"/>
      <c r="AR20" s="178"/>
      <c r="AS20" s="152"/>
      <c r="AT20" s="179"/>
      <c r="AU20" s="113"/>
      <c r="AV20" s="177"/>
      <c r="AW20" s="178"/>
      <c r="AX20" s="178"/>
      <c r="AY20" s="180"/>
      <c r="AZ20" s="181"/>
      <c r="BA20" s="182"/>
      <c r="BB20" s="183"/>
      <c r="BC20" s="177"/>
      <c r="BD20" s="178"/>
      <c r="BE20" s="178"/>
      <c r="BF20" s="152"/>
      <c r="BG20" s="179"/>
      <c r="BH20" s="113"/>
      <c r="BI20" s="177"/>
      <c r="BJ20" s="178"/>
      <c r="BK20" s="178"/>
      <c r="BL20" s="180"/>
      <c r="BM20" s="181"/>
      <c r="BN20" s="182"/>
      <c r="BO20" s="187"/>
      <c r="BP20" s="177"/>
      <c r="BQ20" s="178"/>
      <c r="BR20" s="178"/>
      <c r="BS20" s="152"/>
      <c r="BT20" s="179"/>
      <c r="BU20" s="113"/>
      <c r="BV20" s="177"/>
      <c r="BW20" s="178"/>
      <c r="BX20" s="178"/>
      <c r="BY20" s="180"/>
      <c r="BZ20" s="181"/>
      <c r="CA20" s="182"/>
      <c r="CB20" s="183"/>
      <c r="CC20" s="177"/>
      <c r="CD20" s="178"/>
      <c r="CE20" s="178"/>
      <c r="CF20" s="152"/>
      <c r="CG20" s="179"/>
      <c r="CH20" s="113"/>
      <c r="CI20" s="177"/>
      <c r="CJ20" s="178"/>
      <c r="CK20" s="178"/>
      <c r="CL20" s="180"/>
      <c r="CM20" s="181"/>
      <c r="CN20" s="182"/>
      <c r="CO20" s="183"/>
      <c r="CP20" s="177"/>
      <c r="CQ20" s="178"/>
      <c r="CR20" s="178"/>
      <c r="CS20" s="152"/>
      <c r="CT20" s="179"/>
      <c r="CU20" s="113"/>
      <c r="CV20" s="177"/>
      <c r="CW20" s="178"/>
      <c r="CX20" s="178"/>
      <c r="CY20" s="180"/>
      <c r="CZ20" s="181"/>
      <c r="DA20" s="182"/>
      <c r="DB20" s="183"/>
      <c r="DC20" s="177"/>
      <c r="DD20" s="178"/>
      <c r="DE20" s="178"/>
      <c r="DF20" s="152"/>
      <c r="DG20" s="179"/>
      <c r="DH20" s="113"/>
      <c r="DI20" s="177"/>
      <c r="DJ20" s="178"/>
      <c r="DK20" s="178"/>
      <c r="DL20" s="180"/>
      <c r="DM20" s="181"/>
      <c r="DN20" s="182"/>
      <c r="DO20" s="183"/>
      <c r="DP20" s="177"/>
      <c r="DQ20" s="178"/>
      <c r="DR20" s="178"/>
      <c r="DS20" s="152"/>
      <c r="DT20" s="179"/>
      <c r="DU20" s="113"/>
      <c r="DV20" s="177"/>
      <c r="DW20" s="178"/>
      <c r="DX20" s="178"/>
      <c r="DY20" s="180"/>
      <c r="DZ20" s="181"/>
      <c r="EA20" s="182"/>
      <c r="EB20" s="183"/>
      <c r="EC20" s="177"/>
      <c r="ED20" s="178"/>
      <c r="EE20" s="178"/>
      <c r="EF20" s="152"/>
      <c r="EG20" s="179"/>
      <c r="EH20" s="113"/>
      <c r="EI20" s="177"/>
      <c r="EJ20" s="178"/>
      <c r="EK20" s="178"/>
      <c r="EL20" s="180"/>
      <c r="EM20" s="181"/>
      <c r="EN20" s="182"/>
      <c r="EO20" s="183"/>
      <c r="EP20" s="1"/>
      <c r="EQ20" s="1"/>
      <c r="ER20" s="1"/>
      <c r="ES20" s="1"/>
      <c r="ET20" s="1"/>
      <c r="EU20" s="41">
        <f t="shared" si="6"/>
        <v>0</v>
      </c>
      <c r="EV20" s="186"/>
      <c r="EW20" s="54"/>
      <c r="EX20" s="54"/>
      <c r="EY20" s="55"/>
      <c r="EZ20" s="61">
        <f t="shared" si="1"/>
        <v>0</v>
      </c>
      <c r="FA20" s="1"/>
    </row>
    <row r="21" ht="13.5" customHeight="1">
      <c r="A21" s="48" t="s">
        <v>104</v>
      </c>
      <c r="B21" s="49" t="s">
        <v>106</v>
      </c>
      <c r="C21" s="177"/>
      <c r="D21" s="178"/>
      <c r="E21" s="178"/>
      <c r="F21" s="152"/>
      <c r="G21" s="179"/>
      <c r="H21" s="113"/>
      <c r="I21" s="177"/>
      <c r="J21" s="178"/>
      <c r="K21" s="178"/>
      <c r="L21" s="180"/>
      <c r="M21" s="181"/>
      <c r="N21" s="182"/>
      <c r="O21" s="183"/>
      <c r="P21" s="177"/>
      <c r="Q21" s="178"/>
      <c r="R21" s="178"/>
      <c r="S21" s="152"/>
      <c r="T21" s="179"/>
      <c r="U21" s="113"/>
      <c r="V21" s="177"/>
      <c r="W21" s="178"/>
      <c r="X21" s="178"/>
      <c r="Y21" s="180"/>
      <c r="Z21" s="181"/>
      <c r="AA21" s="182"/>
      <c r="AB21" s="183"/>
      <c r="AC21" s="177"/>
      <c r="AD21" s="178"/>
      <c r="AE21" s="178"/>
      <c r="AF21" s="152"/>
      <c r="AG21" s="179"/>
      <c r="AH21" s="113"/>
      <c r="AI21" s="177"/>
      <c r="AJ21" s="178"/>
      <c r="AK21" s="178"/>
      <c r="AL21" s="180"/>
      <c r="AM21" s="181"/>
      <c r="AN21" s="182"/>
      <c r="AO21" s="187"/>
      <c r="AP21" s="177"/>
      <c r="AQ21" s="178"/>
      <c r="AR21" s="178"/>
      <c r="AS21" s="152"/>
      <c r="AT21" s="179"/>
      <c r="AU21" s="113"/>
      <c r="AV21" s="177"/>
      <c r="AW21" s="178"/>
      <c r="AX21" s="178"/>
      <c r="AY21" s="180"/>
      <c r="AZ21" s="181"/>
      <c r="BA21" s="182"/>
      <c r="BB21" s="187"/>
      <c r="BC21" s="33">
        <v>7450.0</v>
      </c>
      <c r="BD21" s="184">
        <v>43235.0</v>
      </c>
      <c r="BE21" s="184">
        <v>43313.0</v>
      </c>
      <c r="BF21" s="152">
        <f>BE21-BD21</f>
        <v>78</v>
      </c>
      <c r="BG21" s="185">
        <f>0.0725*2/365</f>
        <v>0.000397260274</v>
      </c>
      <c r="BH21" s="113">
        <f>BC21*BF21*BG21</f>
        <v>230.8479452</v>
      </c>
      <c r="BI21" s="177"/>
      <c r="BJ21" s="178"/>
      <c r="BK21" s="178"/>
      <c r="BL21" s="180"/>
      <c r="BM21" s="181"/>
      <c r="BN21" s="182"/>
      <c r="BO21" s="183">
        <f>BH21+BN21</f>
        <v>230.8479452</v>
      </c>
      <c r="BP21" s="33">
        <v>7450.0</v>
      </c>
      <c r="BQ21" s="184">
        <v>43266.0</v>
      </c>
      <c r="BR21" s="184">
        <v>43313.0</v>
      </c>
      <c r="BS21" s="152">
        <f>BR21-BQ21</f>
        <v>47</v>
      </c>
      <c r="BT21" s="185">
        <f>0.0725*2/365</f>
        <v>0.000397260274</v>
      </c>
      <c r="BU21" s="113">
        <f>BP21*BS21*BT21</f>
        <v>139.1006849</v>
      </c>
      <c r="BV21" s="33">
        <v>600.0</v>
      </c>
      <c r="BW21" s="184">
        <v>43276.0</v>
      </c>
      <c r="BX21" s="184">
        <v>43313.0</v>
      </c>
      <c r="BY21" s="180">
        <f>BX21-BW21</f>
        <v>37</v>
      </c>
      <c r="BZ21" s="188">
        <v>0.005</v>
      </c>
      <c r="CA21" s="182">
        <f>BV21*BY21*BZ21</f>
        <v>111</v>
      </c>
      <c r="CB21" s="183">
        <f>CA21+BU21</f>
        <v>250.1006849</v>
      </c>
      <c r="CC21" s="33">
        <v>7450.0</v>
      </c>
      <c r="CD21" s="184">
        <v>43296.0</v>
      </c>
      <c r="CE21" s="184">
        <v>43313.0</v>
      </c>
      <c r="CF21" s="152">
        <f>CE21-CD21</f>
        <v>17</v>
      </c>
      <c r="CG21" s="185">
        <f>0.0725*2/365</f>
        <v>0.000397260274</v>
      </c>
      <c r="CH21" s="113">
        <f>CC21*CF21*CG21</f>
        <v>50.3130137</v>
      </c>
      <c r="CI21" s="33">
        <v>184.0</v>
      </c>
      <c r="CJ21" s="184">
        <v>43306.0</v>
      </c>
      <c r="CK21" s="184">
        <v>43313.0</v>
      </c>
      <c r="CL21" s="180">
        <f>CK21-CJ21</f>
        <v>7</v>
      </c>
      <c r="CM21" s="188">
        <v>0.005</v>
      </c>
      <c r="CN21" s="182">
        <f>CI21*CL21*CM21</f>
        <v>6.44</v>
      </c>
      <c r="CO21" s="183">
        <f>CH21+CN21</f>
        <v>56.7530137</v>
      </c>
      <c r="CP21" s="177"/>
      <c r="CQ21" s="178"/>
      <c r="CR21" s="178"/>
      <c r="CS21" s="152"/>
      <c r="CT21" s="179"/>
      <c r="CU21" s="113"/>
      <c r="CV21" s="177"/>
      <c r="CW21" s="178"/>
      <c r="CX21" s="178"/>
      <c r="CY21" s="180"/>
      <c r="CZ21" s="181"/>
      <c r="DA21" s="182"/>
      <c r="DB21" s="183"/>
      <c r="DC21" s="177"/>
      <c r="DD21" s="178"/>
      <c r="DE21" s="178"/>
      <c r="DF21" s="152"/>
      <c r="DG21" s="179"/>
      <c r="DH21" s="113"/>
      <c r="DI21" s="177"/>
      <c r="DJ21" s="178"/>
      <c r="DK21" s="178"/>
      <c r="DL21" s="180"/>
      <c r="DM21" s="181"/>
      <c r="DN21" s="182"/>
      <c r="DO21" s="183"/>
      <c r="DP21" s="177"/>
      <c r="DQ21" s="178"/>
      <c r="DR21" s="178"/>
      <c r="DS21" s="152"/>
      <c r="DT21" s="179"/>
      <c r="DU21" s="113"/>
      <c r="DV21" s="177"/>
      <c r="DW21" s="178"/>
      <c r="DX21" s="178"/>
      <c r="DY21" s="180"/>
      <c r="DZ21" s="181"/>
      <c r="EA21" s="182"/>
      <c r="EB21" s="183"/>
      <c r="EC21" s="177"/>
      <c r="ED21" s="178"/>
      <c r="EE21" s="178"/>
      <c r="EF21" s="152"/>
      <c r="EG21" s="179"/>
      <c r="EH21" s="113"/>
      <c r="EI21" s="177"/>
      <c r="EJ21" s="178"/>
      <c r="EK21" s="178"/>
      <c r="EL21" s="180"/>
      <c r="EM21" s="181"/>
      <c r="EN21" s="182"/>
      <c r="EO21" s="183"/>
      <c r="EP21" s="1"/>
      <c r="EQ21" s="1"/>
      <c r="ER21" s="1"/>
      <c r="ES21" s="1"/>
      <c r="ET21" s="1"/>
      <c r="EU21" s="41">
        <f t="shared" si="6"/>
        <v>537.7016438</v>
      </c>
      <c r="EV21" s="186"/>
      <c r="EW21" s="54"/>
      <c r="EX21" s="54"/>
      <c r="EY21" s="55"/>
      <c r="EZ21" s="61">
        <f t="shared" si="1"/>
        <v>0</v>
      </c>
      <c r="FA21" s="1"/>
    </row>
    <row r="22" ht="13.5" customHeight="1">
      <c r="A22" s="48" t="s">
        <v>108</v>
      </c>
      <c r="B22" s="49" t="s">
        <v>109</v>
      </c>
      <c r="C22" s="177"/>
      <c r="D22" s="178"/>
      <c r="E22" s="178"/>
      <c r="F22" s="152"/>
      <c r="G22" s="179"/>
      <c r="H22" s="113"/>
      <c r="I22" s="177"/>
      <c r="J22" s="178"/>
      <c r="K22" s="178"/>
      <c r="L22" s="180"/>
      <c r="M22" s="181"/>
      <c r="N22" s="182"/>
      <c r="O22" s="183"/>
      <c r="P22" s="177"/>
      <c r="Q22" s="178"/>
      <c r="R22" s="178"/>
      <c r="S22" s="152"/>
      <c r="T22" s="179"/>
      <c r="U22" s="113"/>
      <c r="V22" s="177"/>
      <c r="W22" s="178"/>
      <c r="X22" s="178"/>
      <c r="Y22" s="180"/>
      <c r="Z22" s="181"/>
      <c r="AA22" s="182"/>
      <c r="AB22" s="183"/>
      <c r="AC22" s="177"/>
      <c r="AD22" s="178"/>
      <c r="AE22" s="178"/>
      <c r="AF22" s="152"/>
      <c r="AG22" s="179"/>
      <c r="AH22" s="113"/>
      <c r="AI22" s="177"/>
      <c r="AJ22" s="178"/>
      <c r="AK22" s="178"/>
      <c r="AL22" s="180"/>
      <c r="AM22" s="181"/>
      <c r="AN22" s="182"/>
      <c r="AO22" s="183"/>
      <c r="AP22" s="177"/>
      <c r="AQ22" s="178"/>
      <c r="AR22" s="178"/>
      <c r="AS22" s="152"/>
      <c r="AT22" s="179"/>
      <c r="AU22" s="113"/>
      <c r="AV22" s="177"/>
      <c r="AW22" s="178"/>
      <c r="AX22" s="178"/>
      <c r="AY22" s="180"/>
      <c r="AZ22" s="181"/>
      <c r="BA22" s="182"/>
      <c r="BB22" s="183"/>
      <c r="BC22" s="177"/>
      <c r="BD22" s="178"/>
      <c r="BE22" s="178"/>
      <c r="BF22" s="152"/>
      <c r="BG22" s="179"/>
      <c r="BH22" s="113"/>
      <c r="BI22" s="177"/>
      <c r="BJ22" s="178"/>
      <c r="BK22" s="178"/>
      <c r="BL22" s="180"/>
      <c r="BM22" s="181"/>
      <c r="BN22" s="182"/>
      <c r="BO22" s="183"/>
      <c r="BP22" s="177"/>
      <c r="BQ22" s="178"/>
      <c r="BR22" s="178"/>
      <c r="BS22" s="152"/>
      <c r="BT22" s="179"/>
      <c r="BU22" s="113"/>
      <c r="BV22" s="177"/>
      <c r="BW22" s="178"/>
      <c r="BX22" s="178"/>
      <c r="BY22" s="180"/>
      <c r="BZ22" s="181"/>
      <c r="CA22" s="182"/>
      <c r="CB22" s="183"/>
      <c r="CC22" s="177"/>
      <c r="CD22" s="178"/>
      <c r="CE22" s="178"/>
      <c r="CF22" s="152"/>
      <c r="CG22" s="179"/>
      <c r="CH22" s="113"/>
      <c r="CI22" s="177"/>
      <c r="CJ22" s="178"/>
      <c r="CK22" s="178"/>
      <c r="CL22" s="180"/>
      <c r="CM22" s="181"/>
      <c r="CN22" s="182"/>
      <c r="CO22" s="183"/>
      <c r="CP22" s="177"/>
      <c r="CQ22" s="178"/>
      <c r="CR22" s="178"/>
      <c r="CS22" s="152"/>
      <c r="CT22" s="179"/>
      <c r="CU22" s="113"/>
      <c r="CV22" s="177"/>
      <c r="CW22" s="178"/>
      <c r="CX22" s="178"/>
      <c r="CY22" s="180"/>
      <c r="CZ22" s="181"/>
      <c r="DA22" s="182"/>
      <c r="DB22" s="183"/>
      <c r="DC22" s="177"/>
      <c r="DD22" s="178"/>
      <c r="DE22" s="178"/>
      <c r="DF22" s="152"/>
      <c r="DG22" s="179"/>
      <c r="DH22" s="113"/>
      <c r="DI22" s="177"/>
      <c r="DJ22" s="178"/>
      <c r="DK22" s="178"/>
      <c r="DL22" s="180"/>
      <c r="DM22" s="181"/>
      <c r="DN22" s="182"/>
      <c r="DO22" s="183"/>
      <c r="DP22" s="177"/>
      <c r="DQ22" s="178"/>
      <c r="DR22" s="178"/>
      <c r="DS22" s="152"/>
      <c r="DT22" s="179"/>
      <c r="DU22" s="113"/>
      <c r="DV22" s="177"/>
      <c r="DW22" s="178"/>
      <c r="DX22" s="178"/>
      <c r="DY22" s="180"/>
      <c r="DZ22" s="181"/>
      <c r="EA22" s="182"/>
      <c r="EB22" s="183"/>
      <c r="EC22" s="177"/>
      <c r="ED22" s="178"/>
      <c r="EE22" s="178"/>
      <c r="EF22" s="152"/>
      <c r="EG22" s="179"/>
      <c r="EH22" s="113"/>
      <c r="EI22" s="177"/>
      <c r="EJ22" s="178"/>
      <c r="EK22" s="178"/>
      <c r="EL22" s="180"/>
      <c r="EM22" s="181"/>
      <c r="EN22" s="182"/>
      <c r="EO22" s="183"/>
      <c r="EP22" s="1"/>
      <c r="EQ22" s="1"/>
      <c r="ER22" s="1"/>
      <c r="ES22" s="1"/>
      <c r="ET22" s="1"/>
      <c r="EU22" s="41">
        <f t="shared" si="6"/>
        <v>0</v>
      </c>
      <c r="EV22" s="186"/>
      <c r="EW22" s="54"/>
      <c r="EX22" s="54"/>
      <c r="EY22" s="55"/>
      <c r="EZ22" s="61">
        <f t="shared" si="1"/>
        <v>0</v>
      </c>
      <c r="FA22" s="1"/>
    </row>
    <row r="23" ht="13.5" customHeight="1">
      <c r="A23" s="48" t="s">
        <v>111</v>
      </c>
      <c r="B23" s="49" t="s">
        <v>112</v>
      </c>
      <c r="C23" s="177"/>
      <c r="D23" s="178"/>
      <c r="E23" s="178"/>
      <c r="F23" s="152"/>
      <c r="G23" s="179"/>
      <c r="H23" s="113"/>
      <c r="I23" s="177"/>
      <c r="J23" s="178"/>
      <c r="K23" s="178"/>
      <c r="L23" s="180"/>
      <c r="M23" s="181"/>
      <c r="N23" s="182"/>
      <c r="O23" s="183"/>
      <c r="P23" s="177"/>
      <c r="Q23" s="178"/>
      <c r="R23" s="178"/>
      <c r="S23" s="152"/>
      <c r="T23" s="179"/>
      <c r="U23" s="113"/>
      <c r="V23" s="177"/>
      <c r="W23" s="178"/>
      <c r="X23" s="178"/>
      <c r="Y23" s="180"/>
      <c r="Z23" s="181"/>
      <c r="AA23" s="182"/>
      <c r="AB23" s="183"/>
      <c r="AC23" s="177"/>
      <c r="AD23" s="178"/>
      <c r="AE23" s="178"/>
      <c r="AF23" s="152"/>
      <c r="AG23" s="179"/>
      <c r="AH23" s="113"/>
      <c r="AI23" s="177"/>
      <c r="AJ23" s="178"/>
      <c r="AK23" s="178"/>
      <c r="AL23" s="180"/>
      <c r="AM23" s="181"/>
      <c r="AN23" s="182"/>
      <c r="AO23" s="187"/>
      <c r="AP23" s="177"/>
      <c r="AQ23" s="178"/>
      <c r="AR23" s="178"/>
      <c r="AS23" s="152"/>
      <c r="AT23" s="179"/>
      <c r="AU23" s="113"/>
      <c r="AV23" s="177"/>
      <c r="AW23" s="178"/>
      <c r="AX23" s="178"/>
      <c r="AY23" s="180"/>
      <c r="AZ23" s="181"/>
      <c r="BA23" s="182"/>
      <c r="BB23" s="183"/>
      <c r="BC23" s="177"/>
      <c r="BD23" s="178"/>
      <c r="BE23" s="178"/>
      <c r="BF23" s="152"/>
      <c r="BG23" s="179"/>
      <c r="BH23" s="113"/>
      <c r="BI23" s="177"/>
      <c r="BJ23" s="178"/>
      <c r="BK23" s="178"/>
      <c r="BL23" s="180"/>
      <c r="BM23" s="181"/>
      <c r="BN23" s="182"/>
      <c r="BO23" s="183"/>
      <c r="BP23" s="177"/>
      <c r="BQ23" s="178"/>
      <c r="BR23" s="178"/>
      <c r="BS23" s="152"/>
      <c r="BT23" s="179"/>
      <c r="BU23" s="113"/>
      <c r="BV23" s="177"/>
      <c r="BW23" s="178"/>
      <c r="BX23" s="178"/>
      <c r="BY23" s="180"/>
      <c r="BZ23" s="181"/>
      <c r="CA23" s="182"/>
      <c r="CB23" s="187"/>
      <c r="CC23" s="177"/>
      <c r="CD23" s="178"/>
      <c r="CE23" s="178"/>
      <c r="CF23" s="152"/>
      <c r="CG23" s="179"/>
      <c r="CH23" s="113"/>
      <c r="CI23" s="177"/>
      <c r="CJ23" s="178"/>
      <c r="CK23" s="178"/>
      <c r="CL23" s="180"/>
      <c r="CM23" s="181"/>
      <c r="CN23" s="182"/>
      <c r="CO23" s="183"/>
      <c r="CP23" s="177"/>
      <c r="CQ23" s="178"/>
      <c r="CR23" s="178"/>
      <c r="CS23" s="152"/>
      <c r="CT23" s="179"/>
      <c r="CU23" s="113"/>
      <c r="CV23" s="177"/>
      <c r="CW23" s="178"/>
      <c r="CX23" s="178"/>
      <c r="CY23" s="180"/>
      <c r="CZ23" s="181"/>
      <c r="DA23" s="182"/>
      <c r="DB23" s="183"/>
      <c r="DC23" s="177"/>
      <c r="DD23" s="178"/>
      <c r="DE23" s="178"/>
      <c r="DF23" s="152"/>
      <c r="DG23" s="179"/>
      <c r="DH23" s="113"/>
      <c r="DI23" s="177"/>
      <c r="DJ23" s="178"/>
      <c r="DK23" s="178"/>
      <c r="DL23" s="180"/>
      <c r="DM23" s="181"/>
      <c r="DN23" s="182"/>
      <c r="DO23" s="183"/>
      <c r="DP23" s="177"/>
      <c r="DQ23" s="178"/>
      <c r="DR23" s="178"/>
      <c r="DS23" s="152"/>
      <c r="DT23" s="179"/>
      <c r="DU23" s="113"/>
      <c r="DV23" s="177"/>
      <c r="DW23" s="178"/>
      <c r="DX23" s="178"/>
      <c r="DY23" s="180"/>
      <c r="DZ23" s="181"/>
      <c r="EA23" s="182"/>
      <c r="EB23" s="183"/>
      <c r="EC23" s="177"/>
      <c r="ED23" s="178"/>
      <c r="EE23" s="178"/>
      <c r="EF23" s="152"/>
      <c r="EG23" s="179"/>
      <c r="EH23" s="113"/>
      <c r="EI23" s="177"/>
      <c r="EJ23" s="178"/>
      <c r="EK23" s="178"/>
      <c r="EL23" s="180"/>
      <c r="EM23" s="181"/>
      <c r="EN23" s="182"/>
      <c r="EO23" s="183"/>
      <c r="EP23" s="1"/>
      <c r="EQ23" s="1"/>
      <c r="ER23" s="1"/>
      <c r="ES23" s="1"/>
      <c r="ET23" s="1"/>
      <c r="EU23" s="41">
        <f t="shared" si="6"/>
        <v>0</v>
      </c>
      <c r="EV23" s="186"/>
      <c r="EW23" s="54"/>
      <c r="EX23" s="54"/>
      <c r="EY23" s="55"/>
      <c r="EZ23" s="61">
        <f t="shared" si="1"/>
        <v>0</v>
      </c>
      <c r="FA23" s="1"/>
    </row>
    <row r="24" ht="13.5" customHeight="1">
      <c r="A24" s="48" t="s">
        <v>113</v>
      </c>
      <c r="B24" s="49" t="s">
        <v>114</v>
      </c>
      <c r="C24" s="177"/>
      <c r="D24" s="178"/>
      <c r="E24" s="178"/>
      <c r="F24" s="152"/>
      <c r="G24" s="179"/>
      <c r="H24" s="113"/>
      <c r="I24" s="177"/>
      <c r="J24" s="178"/>
      <c r="K24" s="178"/>
      <c r="L24" s="180"/>
      <c r="M24" s="181"/>
      <c r="N24" s="182"/>
      <c r="O24" s="183"/>
      <c r="P24" s="177"/>
      <c r="Q24" s="178"/>
      <c r="R24" s="178"/>
      <c r="S24" s="152"/>
      <c r="T24" s="179"/>
      <c r="U24" s="113"/>
      <c r="V24" s="177"/>
      <c r="W24" s="178"/>
      <c r="X24" s="178"/>
      <c r="Y24" s="180"/>
      <c r="Z24" s="181"/>
      <c r="AA24" s="182"/>
      <c r="AB24" s="183"/>
      <c r="AC24" s="177"/>
      <c r="AD24" s="178"/>
      <c r="AE24" s="178"/>
      <c r="AF24" s="152"/>
      <c r="AG24" s="179"/>
      <c r="AH24" s="113"/>
      <c r="AI24" s="177"/>
      <c r="AJ24" s="178"/>
      <c r="AK24" s="178"/>
      <c r="AL24" s="180"/>
      <c r="AM24" s="181"/>
      <c r="AN24" s="182"/>
      <c r="AO24" s="183"/>
      <c r="AP24" s="177"/>
      <c r="AQ24" s="178"/>
      <c r="AR24" s="178"/>
      <c r="AS24" s="152"/>
      <c r="AT24" s="179"/>
      <c r="AU24" s="113"/>
      <c r="AV24" s="177"/>
      <c r="AW24" s="178"/>
      <c r="AX24" s="178"/>
      <c r="AY24" s="180"/>
      <c r="AZ24" s="181"/>
      <c r="BA24" s="182"/>
      <c r="BB24" s="183"/>
      <c r="BC24" s="177"/>
      <c r="BD24" s="178"/>
      <c r="BE24" s="178"/>
      <c r="BF24" s="152"/>
      <c r="BG24" s="179"/>
      <c r="BH24" s="113"/>
      <c r="BI24" s="177"/>
      <c r="BJ24" s="178"/>
      <c r="BK24" s="178"/>
      <c r="BL24" s="180"/>
      <c r="BM24" s="181"/>
      <c r="BN24" s="182"/>
      <c r="BO24" s="183"/>
      <c r="BP24" s="177"/>
      <c r="BQ24" s="178"/>
      <c r="BR24" s="178"/>
      <c r="BS24" s="152"/>
      <c r="BT24" s="179"/>
      <c r="BU24" s="113"/>
      <c r="BV24" s="177"/>
      <c r="BW24" s="178"/>
      <c r="BX24" s="178"/>
      <c r="BY24" s="180"/>
      <c r="BZ24" s="181"/>
      <c r="CA24" s="182"/>
      <c r="CB24" s="183"/>
      <c r="CC24" s="177"/>
      <c r="CD24" s="178"/>
      <c r="CE24" s="178"/>
      <c r="CF24" s="152"/>
      <c r="CG24" s="179"/>
      <c r="CH24" s="113"/>
      <c r="CI24" s="177"/>
      <c r="CJ24" s="178"/>
      <c r="CK24" s="178"/>
      <c r="CL24" s="180"/>
      <c r="CM24" s="181"/>
      <c r="CN24" s="182"/>
      <c r="CO24" s="183"/>
      <c r="CP24" s="177"/>
      <c r="CQ24" s="178"/>
      <c r="CR24" s="178"/>
      <c r="CS24" s="152"/>
      <c r="CT24" s="179"/>
      <c r="CU24" s="113"/>
      <c r="CV24" s="177"/>
      <c r="CW24" s="178"/>
      <c r="CX24" s="178"/>
      <c r="CY24" s="180"/>
      <c r="CZ24" s="181"/>
      <c r="DA24" s="182"/>
      <c r="DB24" s="183"/>
      <c r="DC24" s="177"/>
      <c r="DD24" s="178"/>
      <c r="DE24" s="178"/>
      <c r="DF24" s="152"/>
      <c r="DG24" s="179"/>
      <c r="DH24" s="113"/>
      <c r="DI24" s="177"/>
      <c r="DJ24" s="178"/>
      <c r="DK24" s="178"/>
      <c r="DL24" s="180"/>
      <c r="DM24" s="181"/>
      <c r="DN24" s="182"/>
      <c r="DO24" s="183"/>
      <c r="DP24" s="177"/>
      <c r="DQ24" s="178"/>
      <c r="DR24" s="178"/>
      <c r="DS24" s="152"/>
      <c r="DT24" s="179"/>
      <c r="DU24" s="113"/>
      <c r="DV24" s="177"/>
      <c r="DW24" s="178"/>
      <c r="DX24" s="178"/>
      <c r="DY24" s="180"/>
      <c r="DZ24" s="181"/>
      <c r="EA24" s="182"/>
      <c r="EB24" s="183"/>
      <c r="EC24" s="177"/>
      <c r="ED24" s="178"/>
      <c r="EE24" s="178"/>
      <c r="EF24" s="152"/>
      <c r="EG24" s="179"/>
      <c r="EH24" s="113"/>
      <c r="EI24" s="177"/>
      <c r="EJ24" s="178"/>
      <c r="EK24" s="178"/>
      <c r="EL24" s="180"/>
      <c r="EM24" s="181"/>
      <c r="EN24" s="182"/>
      <c r="EO24" s="183"/>
      <c r="EP24" s="1"/>
      <c r="EQ24" s="1"/>
      <c r="ER24" s="1"/>
      <c r="ES24" s="1"/>
      <c r="ET24" s="1"/>
      <c r="EU24" s="41">
        <f t="shared" si="6"/>
        <v>0</v>
      </c>
      <c r="EV24" s="186"/>
      <c r="EW24" s="54"/>
      <c r="EX24" s="54"/>
      <c r="EY24" s="55"/>
      <c r="EZ24" s="61">
        <f t="shared" si="1"/>
        <v>0</v>
      </c>
      <c r="FA24" s="1"/>
    </row>
    <row r="25" ht="13.5" customHeight="1">
      <c r="A25" s="48" t="s">
        <v>116</v>
      </c>
      <c r="B25" s="49" t="s">
        <v>117</v>
      </c>
      <c r="C25" s="177"/>
      <c r="D25" s="178"/>
      <c r="E25" s="178"/>
      <c r="F25" s="152"/>
      <c r="G25" s="179"/>
      <c r="H25" s="113"/>
      <c r="I25" s="177"/>
      <c r="J25" s="178"/>
      <c r="K25" s="178"/>
      <c r="L25" s="180"/>
      <c r="M25" s="181"/>
      <c r="N25" s="182"/>
      <c r="O25" s="183"/>
      <c r="P25" s="177"/>
      <c r="Q25" s="178"/>
      <c r="R25" s="178"/>
      <c r="S25" s="152"/>
      <c r="T25" s="179"/>
      <c r="U25" s="113"/>
      <c r="V25" s="177"/>
      <c r="W25" s="178"/>
      <c r="X25" s="178"/>
      <c r="Y25" s="180"/>
      <c r="Z25" s="181"/>
      <c r="AA25" s="182"/>
      <c r="AB25" s="183"/>
      <c r="AC25" s="177"/>
      <c r="AD25" s="178"/>
      <c r="AE25" s="178"/>
      <c r="AF25" s="152"/>
      <c r="AG25" s="179"/>
      <c r="AH25" s="113"/>
      <c r="AI25" s="177"/>
      <c r="AJ25" s="178"/>
      <c r="AK25" s="178"/>
      <c r="AL25" s="180"/>
      <c r="AM25" s="181"/>
      <c r="AN25" s="182"/>
      <c r="AO25" s="183"/>
      <c r="AP25" s="177"/>
      <c r="AQ25" s="178"/>
      <c r="AR25" s="178"/>
      <c r="AS25" s="152"/>
      <c r="AT25" s="179"/>
      <c r="AU25" s="113"/>
      <c r="AV25" s="177"/>
      <c r="AW25" s="178"/>
      <c r="AX25" s="178"/>
      <c r="AY25" s="180"/>
      <c r="AZ25" s="181"/>
      <c r="BA25" s="182"/>
      <c r="BB25" s="183"/>
      <c r="BC25" s="177"/>
      <c r="BD25" s="178"/>
      <c r="BE25" s="178"/>
      <c r="BF25" s="152"/>
      <c r="BG25" s="179"/>
      <c r="BH25" s="113"/>
      <c r="BI25" s="177"/>
      <c r="BJ25" s="178"/>
      <c r="BK25" s="178"/>
      <c r="BL25" s="180"/>
      <c r="BM25" s="181"/>
      <c r="BN25" s="182"/>
      <c r="BO25" s="183"/>
      <c r="BP25" s="177"/>
      <c r="BQ25" s="178"/>
      <c r="BR25" s="178"/>
      <c r="BS25" s="152"/>
      <c r="BT25" s="179"/>
      <c r="BU25" s="113"/>
      <c r="BV25" s="177"/>
      <c r="BW25" s="178"/>
      <c r="BX25" s="178"/>
      <c r="BY25" s="180"/>
      <c r="BZ25" s="181"/>
      <c r="CA25" s="182"/>
      <c r="CB25" s="183"/>
      <c r="CC25" s="177"/>
      <c r="CD25" s="178"/>
      <c r="CE25" s="178"/>
      <c r="CF25" s="152"/>
      <c r="CG25" s="179"/>
      <c r="CH25" s="113"/>
      <c r="CI25" s="177"/>
      <c r="CJ25" s="178"/>
      <c r="CK25" s="178"/>
      <c r="CL25" s="180"/>
      <c r="CM25" s="181"/>
      <c r="CN25" s="182"/>
      <c r="CO25" s="183"/>
      <c r="CP25" s="177"/>
      <c r="CQ25" s="178"/>
      <c r="CR25" s="178"/>
      <c r="CS25" s="152"/>
      <c r="CT25" s="179"/>
      <c r="CU25" s="113"/>
      <c r="CV25" s="177"/>
      <c r="CW25" s="178"/>
      <c r="CX25" s="178"/>
      <c r="CY25" s="180"/>
      <c r="CZ25" s="181"/>
      <c r="DA25" s="182"/>
      <c r="DB25" s="183"/>
      <c r="DC25" s="177"/>
      <c r="DD25" s="178"/>
      <c r="DE25" s="178"/>
      <c r="DF25" s="152"/>
      <c r="DG25" s="179"/>
      <c r="DH25" s="113"/>
      <c r="DI25" s="177"/>
      <c r="DJ25" s="178"/>
      <c r="DK25" s="178"/>
      <c r="DL25" s="180"/>
      <c r="DM25" s="181"/>
      <c r="DN25" s="182"/>
      <c r="DO25" s="183"/>
      <c r="DP25" s="177"/>
      <c r="DQ25" s="178"/>
      <c r="DR25" s="178"/>
      <c r="DS25" s="152"/>
      <c r="DT25" s="179"/>
      <c r="DU25" s="113"/>
      <c r="DV25" s="177"/>
      <c r="DW25" s="178"/>
      <c r="DX25" s="178"/>
      <c r="DY25" s="180"/>
      <c r="DZ25" s="181"/>
      <c r="EA25" s="182"/>
      <c r="EB25" s="183"/>
      <c r="EC25" s="177"/>
      <c r="ED25" s="178"/>
      <c r="EE25" s="178"/>
      <c r="EF25" s="152"/>
      <c r="EG25" s="179"/>
      <c r="EH25" s="113"/>
      <c r="EI25" s="177"/>
      <c r="EJ25" s="178"/>
      <c r="EK25" s="178"/>
      <c r="EL25" s="180"/>
      <c r="EM25" s="181"/>
      <c r="EN25" s="182"/>
      <c r="EO25" s="183"/>
      <c r="EP25" s="1"/>
      <c r="EQ25" s="1"/>
      <c r="ER25" s="1"/>
      <c r="ES25" s="1"/>
      <c r="ET25" s="1"/>
      <c r="EU25" s="41">
        <f t="shared" si="6"/>
        <v>0</v>
      </c>
      <c r="EV25" s="186"/>
      <c r="EW25" s="54"/>
      <c r="EX25" s="54"/>
      <c r="EY25" s="55"/>
      <c r="EZ25" s="61">
        <f t="shared" si="1"/>
        <v>0</v>
      </c>
      <c r="FA25" s="1"/>
    </row>
    <row r="26" ht="13.5" customHeight="1">
      <c r="A26" s="48" t="s">
        <v>118</v>
      </c>
      <c r="B26" s="49" t="s">
        <v>119</v>
      </c>
      <c r="C26" s="177"/>
      <c r="D26" s="178"/>
      <c r="E26" s="178"/>
      <c r="F26" s="152"/>
      <c r="G26" s="179"/>
      <c r="H26" s="113"/>
      <c r="I26" s="177"/>
      <c r="J26" s="178"/>
      <c r="K26" s="178"/>
      <c r="L26" s="180"/>
      <c r="M26" s="181"/>
      <c r="N26" s="182"/>
      <c r="O26" s="183"/>
      <c r="P26" s="177"/>
      <c r="Q26" s="178"/>
      <c r="R26" s="178"/>
      <c r="S26" s="152"/>
      <c r="T26" s="179"/>
      <c r="U26" s="113"/>
      <c r="V26" s="177"/>
      <c r="W26" s="178"/>
      <c r="X26" s="178"/>
      <c r="Y26" s="180"/>
      <c r="Z26" s="181"/>
      <c r="AA26" s="182"/>
      <c r="AB26" s="183"/>
      <c r="AC26" s="177"/>
      <c r="AD26" s="178"/>
      <c r="AE26" s="178"/>
      <c r="AF26" s="152"/>
      <c r="AG26" s="179"/>
      <c r="AH26" s="113"/>
      <c r="AI26" s="177"/>
      <c r="AJ26" s="178"/>
      <c r="AK26" s="178"/>
      <c r="AL26" s="180"/>
      <c r="AM26" s="181"/>
      <c r="AN26" s="182"/>
      <c r="AO26" s="183"/>
      <c r="AP26" s="177"/>
      <c r="AQ26" s="178"/>
      <c r="AR26" s="178"/>
      <c r="AS26" s="152"/>
      <c r="AT26" s="179"/>
      <c r="AU26" s="113"/>
      <c r="AV26" s="177"/>
      <c r="AW26" s="178"/>
      <c r="AX26" s="178"/>
      <c r="AY26" s="180"/>
      <c r="AZ26" s="181"/>
      <c r="BA26" s="182"/>
      <c r="BB26" s="183"/>
      <c r="BC26" s="177"/>
      <c r="BD26" s="178"/>
      <c r="BE26" s="178"/>
      <c r="BF26" s="152"/>
      <c r="BG26" s="179"/>
      <c r="BH26" s="113"/>
      <c r="BI26" s="177"/>
      <c r="BJ26" s="178"/>
      <c r="BK26" s="178"/>
      <c r="BL26" s="180"/>
      <c r="BM26" s="181"/>
      <c r="BN26" s="182"/>
      <c r="BO26" s="187"/>
      <c r="BP26" s="177"/>
      <c r="BQ26" s="178"/>
      <c r="BR26" s="178"/>
      <c r="BS26" s="152"/>
      <c r="BT26" s="179"/>
      <c r="BU26" s="113"/>
      <c r="BV26" s="177"/>
      <c r="BW26" s="178"/>
      <c r="BX26" s="178"/>
      <c r="BY26" s="180"/>
      <c r="BZ26" s="181"/>
      <c r="CA26" s="182"/>
      <c r="CB26" s="187"/>
      <c r="CC26" s="177"/>
      <c r="CD26" s="178"/>
      <c r="CE26" s="178"/>
      <c r="CF26" s="152"/>
      <c r="CG26" s="179"/>
      <c r="CH26" s="113"/>
      <c r="CI26" s="177"/>
      <c r="CJ26" s="178"/>
      <c r="CK26" s="178"/>
      <c r="CL26" s="180"/>
      <c r="CM26" s="181"/>
      <c r="CN26" s="182"/>
      <c r="CO26" s="183"/>
      <c r="CP26" s="177"/>
      <c r="CQ26" s="178"/>
      <c r="CR26" s="178"/>
      <c r="CS26" s="152"/>
      <c r="CT26" s="179"/>
      <c r="CU26" s="113"/>
      <c r="CV26" s="177"/>
      <c r="CW26" s="178"/>
      <c r="CX26" s="178"/>
      <c r="CY26" s="180"/>
      <c r="CZ26" s="181"/>
      <c r="DA26" s="182"/>
      <c r="DB26" s="183"/>
      <c r="DC26" s="177"/>
      <c r="DD26" s="178"/>
      <c r="DE26" s="178"/>
      <c r="DF26" s="152"/>
      <c r="DG26" s="179"/>
      <c r="DH26" s="113"/>
      <c r="DI26" s="177"/>
      <c r="DJ26" s="178"/>
      <c r="DK26" s="178"/>
      <c r="DL26" s="180"/>
      <c r="DM26" s="181"/>
      <c r="DN26" s="182"/>
      <c r="DO26" s="183"/>
      <c r="DP26" s="177"/>
      <c r="DQ26" s="178"/>
      <c r="DR26" s="178"/>
      <c r="DS26" s="152"/>
      <c r="DT26" s="179"/>
      <c r="DU26" s="113"/>
      <c r="DV26" s="177"/>
      <c r="DW26" s="178"/>
      <c r="DX26" s="178"/>
      <c r="DY26" s="180"/>
      <c r="DZ26" s="181"/>
      <c r="EA26" s="182"/>
      <c r="EB26" s="183"/>
      <c r="EC26" s="177"/>
      <c r="ED26" s="178"/>
      <c r="EE26" s="178"/>
      <c r="EF26" s="152"/>
      <c r="EG26" s="179"/>
      <c r="EH26" s="113"/>
      <c r="EI26" s="177"/>
      <c r="EJ26" s="178"/>
      <c r="EK26" s="178"/>
      <c r="EL26" s="180"/>
      <c r="EM26" s="181"/>
      <c r="EN26" s="182"/>
      <c r="EO26" s="183"/>
      <c r="EP26" s="1"/>
      <c r="EQ26" s="1"/>
      <c r="ER26" s="1"/>
      <c r="ES26" s="1"/>
      <c r="ET26" s="1"/>
      <c r="EU26" s="41">
        <f t="shared" si="6"/>
        <v>0</v>
      </c>
      <c r="EV26" s="186"/>
      <c r="EW26" s="54"/>
      <c r="EX26" s="54"/>
      <c r="EY26" s="55"/>
      <c r="EZ26" s="61">
        <f t="shared" si="1"/>
        <v>0</v>
      </c>
      <c r="FA26" s="1"/>
    </row>
    <row r="27" ht="13.5" customHeight="1">
      <c r="A27" s="48" t="s">
        <v>120</v>
      </c>
      <c r="B27" s="49" t="s">
        <v>121</v>
      </c>
      <c r="C27" s="177"/>
      <c r="D27" s="189"/>
      <c r="E27" s="189"/>
      <c r="F27" s="190"/>
      <c r="G27" s="179"/>
      <c r="H27" s="113"/>
      <c r="I27" s="177"/>
      <c r="J27" s="178"/>
      <c r="K27" s="178"/>
      <c r="L27" s="180"/>
      <c r="M27" s="181"/>
      <c r="N27" s="182"/>
      <c r="O27" s="183"/>
      <c r="P27" s="177"/>
      <c r="Q27" s="189"/>
      <c r="R27" s="189"/>
      <c r="S27" s="190"/>
      <c r="T27" s="179"/>
      <c r="U27" s="113"/>
      <c r="V27" s="177"/>
      <c r="W27" s="178"/>
      <c r="X27" s="178"/>
      <c r="Y27" s="180"/>
      <c r="Z27" s="181"/>
      <c r="AA27" s="182"/>
      <c r="AB27" s="183"/>
      <c r="AC27" s="177"/>
      <c r="AD27" s="189"/>
      <c r="AE27" s="189"/>
      <c r="AF27" s="190"/>
      <c r="AG27" s="179"/>
      <c r="AH27" s="113"/>
      <c r="AI27" s="177"/>
      <c r="AJ27" s="178"/>
      <c r="AK27" s="178"/>
      <c r="AL27" s="180"/>
      <c r="AM27" s="181"/>
      <c r="AN27" s="182"/>
      <c r="AO27" s="183"/>
      <c r="AP27" s="177"/>
      <c r="AQ27" s="189"/>
      <c r="AR27" s="189"/>
      <c r="AS27" s="190"/>
      <c r="AT27" s="179"/>
      <c r="AU27" s="113"/>
      <c r="AV27" s="177"/>
      <c r="AW27" s="178"/>
      <c r="AX27" s="178"/>
      <c r="AY27" s="180"/>
      <c r="AZ27" s="181"/>
      <c r="BA27" s="182"/>
      <c r="BB27" s="183"/>
      <c r="BC27" s="177"/>
      <c r="BD27" s="178"/>
      <c r="BE27" s="178"/>
      <c r="BF27" s="152"/>
      <c r="BG27" s="179"/>
      <c r="BH27" s="113"/>
      <c r="BI27" s="177"/>
      <c r="BJ27" s="178"/>
      <c r="BK27" s="178"/>
      <c r="BL27" s="180"/>
      <c r="BM27" s="181"/>
      <c r="BN27" s="182"/>
      <c r="BO27" s="183"/>
      <c r="BP27" s="33">
        <v>7450.0</v>
      </c>
      <c r="BQ27" s="184">
        <v>43266.0</v>
      </c>
      <c r="BR27" s="184">
        <v>43313.0</v>
      </c>
      <c r="BS27" s="152">
        <f t="shared" ref="BS27:BS30" si="7">BR27-BQ27</f>
        <v>47</v>
      </c>
      <c r="BT27" s="185">
        <f t="shared" ref="BT27:BT30" si="8">0.0725*2/365</f>
        <v>0.000397260274</v>
      </c>
      <c r="BU27" s="113">
        <f t="shared" ref="BU27:BU30" si="9">BP27*BS27*BT27</f>
        <v>139.1006849</v>
      </c>
      <c r="BV27" s="177"/>
      <c r="BW27" s="178"/>
      <c r="BX27" s="178"/>
      <c r="BY27" s="180"/>
      <c r="BZ27" s="181"/>
      <c r="CA27" s="182"/>
      <c r="CB27" s="183">
        <f t="shared" ref="CB27:CB30" si="10">CA27+BU27</f>
        <v>139.1006849</v>
      </c>
      <c r="CC27" s="33">
        <v>7450.0</v>
      </c>
      <c r="CD27" s="184">
        <v>43296.0</v>
      </c>
      <c r="CE27" s="184">
        <v>43313.0</v>
      </c>
      <c r="CF27" s="152">
        <f t="shared" ref="CF27:CF31" si="11">CE27-CD27</f>
        <v>17</v>
      </c>
      <c r="CG27" s="185">
        <f t="shared" ref="CG27:CG31" si="12">0.0725*2/365</f>
        <v>0.000397260274</v>
      </c>
      <c r="CH27" s="113">
        <f t="shared" ref="CH27:CH31" si="13">CC27*CF27*CG27</f>
        <v>50.3130137</v>
      </c>
      <c r="CI27" s="177"/>
      <c r="CJ27" s="178"/>
      <c r="CK27" s="178"/>
      <c r="CL27" s="180"/>
      <c r="CM27" s="181"/>
      <c r="CN27" s="182"/>
      <c r="CO27" s="183">
        <f t="shared" ref="CO27:CO31" si="14">CH27+CN27</f>
        <v>50.3130137</v>
      </c>
      <c r="CP27" s="177"/>
      <c r="CQ27" s="178"/>
      <c r="CR27" s="178"/>
      <c r="CS27" s="152"/>
      <c r="CT27" s="179"/>
      <c r="CU27" s="113"/>
      <c r="CV27" s="177"/>
      <c r="CW27" s="178"/>
      <c r="CX27" s="178"/>
      <c r="CY27" s="180"/>
      <c r="CZ27" s="181"/>
      <c r="DA27" s="182"/>
      <c r="DB27" s="183"/>
      <c r="DC27" s="177"/>
      <c r="DD27" s="178"/>
      <c r="DE27" s="178"/>
      <c r="DF27" s="152"/>
      <c r="DG27" s="179"/>
      <c r="DH27" s="113"/>
      <c r="DI27" s="177"/>
      <c r="DJ27" s="178"/>
      <c r="DK27" s="178"/>
      <c r="DL27" s="180"/>
      <c r="DM27" s="181"/>
      <c r="DN27" s="182"/>
      <c r="DO27" s="183"/>
      <c r="DP27" s="177"/>
      <c r="DQ27" s="178"/>
      <c r="DR27" s="178"/>
      <c r="DS27" s="152"/>
      <c r="DT27" s="179"/>
      <c r="DU27" s="113"/>
      <c r="DV27" s="177"/>
      <c r="DW27" s="178"/>
      <c r="DX27" s="178"/>
      <c r="DY27" s="180"/>
      <c r="DZ27" s="181"/>
      <c r="EA27" s="182"/>
      <c r="EB27" s="183"/>
      <c r="EC27" s="177"/>
      <c r="ED27" s="178"/>
      <c r="EE27" s="178"/>
      <c r="EF27" s="152"/>
      <c r="EG27" s="179"/>
      <c r="EH27" s="113"/>
      <c r="EI27" s="177"/>
      <c r="EJ27" s="178"/>
      <c r="EK27" s="178"/>
      <c r="EL27" s="180"/>
      <c r="EM27" s="181"/>
      <c r="EN27" s="182"/>
      <c r="EO27" s="183"/>
      <c r="EP27" s="1"/>
      <c r="EQ27" s="1"/>
      <c r="ER27" s="1"/>
      <c r="ES27" s="1"/>
      <c r="ET27" s="1"/>
      <c r="EU27" s="41">
        <f t="shared" si="6"/>
        <v>189.4136986</v>
      </c>
      <c r="EV27" s="186"/>
      <c r="EW27" s="54"/>
      <c r="EX27" s="54"/>
      <c r="EY27" s="55"/>
      <c r="EZ27" s="61">
        <f t="shared" si="1"/>
        <v>0</v>
      </c>
      <c r="FA27" s="1"/>
    </row>
    <row r="28" ht="13.5" customHeight="1">
      <c r="A28" s="48" t="s">
        <v>122</v>
      </c>
      <c r="B28" s="49" t="s">
        <v>123</v>
      </c>
      <c r="C28" s="177"/>
      <c r="D28" s="178"/>
      <c r="E28" s="178"/>
      <c r="F28" s="152"/>
      <c r="G28" s="179"/>
      <c r="H28" s="113"/>
      <c r="I28" s="177"/>
      <c r="J28" s="178"/>
      <c r="K28" s="178"/>
      <c r="L28" s="180"/>
      <c r="M28" s="181"/>
      <c r="N28" s="182"/>
      <c r="O28" s="183"/>
      <c r="P28" s="177"/>
      <c r="Q28" s="178"/>
      <c r="R28" s="178"/>
      <c r="S28" s="152"/>
      <c r="T28" s="179"/>
      <c r="U28" s="113"/>
      <c r="V28" s="177"/>
      <c r="W28" s="178"/>
      <c r="X28" s="178"/>
      <c r="Y28" s="180"/>
      <c r="Z28" s="181"/>
      <c r="AA28" s="182"/>
      <c r="AB28" s="183"/>
      <c r="AC28" s="177"/>
      <c r="AD28" s="178"/>
      <c r="AE28" s="178"/>
      <c r="AF28" s="152"/>
      <c r="AG28" s="179"/>
      <c r="AH28" s="113"/>
      <c r="AI28" s="177"/>
      <c r="AJ28" s="178"/>
      <c r="AK28" s="178"/>
      <c r="AL28" s="180"/>
      <c r="AM28" s="181"/>
      <c r="AN28" s="182"/>
      <c r="AO28" s="183"/>
      <c r="AP28" s="33">
        <v>7450.0</v>
      </c>
      <c r="AQ28" s="191">
        <v>43205.0</v>
      </c>
      <c r="AR28" s="191">
        <v>43313.0</v>
      </c>
      <c r="AS28" s="190">
        <f>AR28-AQ28</f>
        <v>108</v>
      </c>
      <c r="AT28" s="185">
        <f>0.0725*2/365</f>
        <v>0.000397260274</v>
      </c>
      <c r="AU28" s="113">
        <f>AP28*AS28*AT28</f>
        <v>319.6356164</v>
      </c>
      <c r="AV28" s="177"/>
      <c r="AW28" s="178"/>
      <c r="AX28" s="178"/>
      <c r="AY28" s="180"/>
      <c r="AZ28" s="181"/>
      <c r="BA28" s="182"/>
      <c r="BB28" s="183">
        <f>AU28+BA28</f>
        <v>319.6356164</v>
      </c>
      <c r="BC28" s="33">
        <v>7450.0</v>
      </c>
      <c r="BD28" s="184">
        <v>43235.0</v>
      </c>
      <c r="BE28" s="184">
        <v>43313.0</v>
      </c>
      <c r="BF28" s="152">
        <f t="shared" ref="BF28:BF30" si="15">BE28-BD28</f>
        <v>78</v>
      </c>
      <c r="BG28" s="185">
        <f t="shared" ref="BG28:BG30" si="16">0.0725*2/365</f>
        <v>0.000397260274</v>
      </c>
      <c r="BH28" s="113">
        <f t="shared" ref="BH28:BH30" si="17">BC28*BF28*BG28</f>
        <v>230.8479452</v>
      </c>
      <c r="BI28" s="177"/>
      <c r="BJ28" s="178"/>
      <c r="BK28" s="178"/>
      <c r="BL28" s="180"/>
      <c r="BM28" s="181"/>
      <c r="BN28" s="182"/>
      <c r="BO28" s="183">
        <f t="shared" ref="BO28:BO30" si="18">BH28+BN28</f>
        <v>230.8479452</v>
      </c>
      <c r="BP28" s="33">
        <v>7450.0</v>
      </c>
      <c r="BQ28" s="184">
        <v>43266.0</v>
      </c>
      <c r="BR28" s="184">
        <v>43313.0</v>
      </c>
      <c r="BS28" s="152">
        <f t="shared" si="7"/>
        <v>47</v>
      </c>
      <c r="BT28" s="185">
        <f t="shared" si="8"/>
        <v>0.000397260274</v>
      </c>
      <c r="BU28" s="113">
        <f t="shared" si="9"/>
        <v>139.1006849</v>
      </c>
      <c r="BV28" s="177"/>
      <c r="BW28" s="178"/>
      <c r="BX28" s="178"/>
      <c r="BY28" s="180"/>
      <c r="BZ28" s="181"/>
      <c r="CA28" s="182"/>
      <c r="CB28" s="183">
        <f t="shared" si="10"/>
        <v>139.1006849</v>
      </c>
      <c r="CC28" s="33">
        <v>7450.0</v>
      </c>
      <c r="CD28" s="184">
        <v>43296.0</v>
      </c>
      <c r="CE28" s="184">
        <v>43313.0</v>
      </c>
      <c r="CF28" s="152">
        <f t="shared" si="11"/>
        <v>17</v>
      </c>
      <c r="CG28" s="185">
        <f t="shared" si="12"/>
        <v>0.000397260274</v>
      </c>
      <c r="CH28" s="113">
        <f t="shared" si="13"/>
        <v>50.3130137</v>
      </c>
      <c r="CI28" s="177"/>
      <c r="CJ28" s="178"/>
      <c r="CK28" s="178"/>
      <c r="CL28" s="180"/>
      <c r="CM28" s="181"/>
      <c r="CN28" s="182"/>
      <c r="CO28" s="183">
        <f t="shared" si="14"/>
        <v>50.3130137</v>
      </c>
      <c r="CP28" s="177"/>
      <c r="CQ28" s="178"/>
      <c r="CR28" s="178"/>
      <c r="CS28" s="152"/>
      <c r="CT28" s="179"/>
      <c r="CU28" s="113"/>
      <c r="CV28" s="177"/>
      <c r="CW28" s="178"/>
      <c r="CX28" s="178"/>
      <c r="CY28" s="180"/>
      <c r="CZ28" s="181"/>
      <c r="DA28" s="182"/>
      <c r="DB28" s="183"/>
      <c r="DC28" s="177"/>
      <c r="DD28" s="178"/>
      <c r="DE28" s="178"/>
      <c r="DF28" s="152"/>
      <c r="DG28" s="179"/>
      <c r="DH28" s="113"/>
      <c r="DI28" s="177"/>
      <c r="DJ28" s="178"/>
      <c r="DK28" s="178"/>
      <c r="DL28" s="180"/>
      <c r="DM28" s="181"/>
      <c r="DN28" s="182"/>
      <c r="DO28" s="183"/>
      <c r="DP28" s="177"/>
      <c r="DQ28" s="178"/>
      <c r="DR28" s="178"/>
      <c r="DS28" s="152"/>
      <c r="DT28" s="179"/>
      <c r="DU28" s="113"/>
      <c r="DV28" s="177"/>
      <c r="DW28" s="178"/>
      <c r="DX28" s="178"/>
      <c r="DY28" s="180"/>
      <c r="DZ28" s="181"/>
      <c r="EA28" s="182"/>
      <c r="EB28" s="183"/>
      <c r="EC28" s="177"/>
      <c r="ED28" s="178"/>
      <c r="EE28" s="178"/>
      <c r="EF28" s="152"/>
      <c r="EG28" s="179"/>
      <c r="EH28" s="113"/>
      <c r="EI28" s="177"/>
      <c r="EJ28" s="178"/>
      <c r="EK28" s="178"/>
      <c r="EL28" s="180"/>
      <c r="EM28" s="181"/>
      <c r="EN28" s="182"/>
      <c r="EO28" s="183"/>
      <c r="EP28" s="1"/>
      <c r="EQ28" s="1"/>
      <c r="ER28" s="1"/>
      <c r="ES28" s="1"/>
      <c r="ET28" s="1"/>
      <c r="EU28" s="41">
        <f t="shared" si="6"/>
        <v>739.8972603</v>
      </c>
      <c r="EV28" s="186"/>
      <c r="EW28" s="54"/>
      <c r="EX28" s="54"/>
      <c r="EY28" s="55"/>
      <c r="EZ28" s="61">
        <f t="shared" si="1"/>
        <v>0</v>
      </c>
      <c r="FA28" s="1"/>
    </row>
    <row r="29" ht="13.5" customHeight="1">
      <c r="A29" s="48" t="s">
        <v>124</v>
      </c>
      <c r="B29" s="49" t="s">
        <v>125</v>
      </c>
      <c r="C29" s="177"/>
      <c r="D29" s="178"/>
      <c r="E29" s="178"/>
      <c r="F29" s="152"/>
      <c r="G29" s="179"/>
      <c r="H29" s="113"/>
      <c r="I29" s="177"/>
      <c r="J29" s="178"/>
      <c r="K29" s="178"/>
      <c r="L29" s="180"/>
      <c r="M29" s="181"/>
      <c r="N29" s="182"/>
      <c r="O29" s="183"/>
      <c r="P29" s="177"/>
      <c r="Q29" s="178"/>
      <c r="R29" s="178"/>
      <c r="S29" s="152"/>
      <c r="T29" s="179"/>
      <c r="U29" s="113"/>
      <c r="V29" s="177"/>
      <c r="W29" s="178"/>
      <c r="X29" s="178"/>
      <c r="Y29" s="180"/>
      <c r="Z29" s="181"/>
      <c r="AA29" s="182"/>
      <c r="AB29" s="183"/>
      <c r="AC29" s="177"/>
      <c r="AD29" s="178"/>
      <c r="AE29" s="178"/>
      <c r="AF29" s="152"/>
      <c r="AG29" s="179"/>
      <c r="AH29" s="113"/>
      <c r="AI29" s="177"/>
      <c r="AJ29" s="178"/>
      <c r="AK29" s="178"/>
      <c r="AL29" s="180"/>
      <c r="AM29" s="181"/>
      <c r="AN29" s="182"/>
      <c r="AO29" s="187"/>
      <c r="AP29" s="177"/>
      <c r="AQ29" s="178"/>
      <c r="AR29" s="178"/>
      <c r="AS29" s="152"/>
      <c r="AT29" s="179"/>
      <c r="AU29" s="113"/>
      <c r="AV29" s="177"/>
      <c r="AW29" s="178"/>
      <c r="AX29" s="178"/>
      <c r="AY29" s="180"/>
      <c r="AZ29" s="181"/>
      <c r="BA29" s="182"/>
      <c r="BB29" s="183"/>
      <c r="BC29" s="33">
        <v>7450.0</v>
      </c>
      <c r="BD29" s="184">
        <v>43235.0</v>
      </c>
      <c r="BE29" s="184">
        <v>43313.0</v>
      </c>
      <c r="BF29" s="152">
        <f t="shared" si="15"/>
        <v>78</v>
      </c>
      <c r="BG29" s="185">
        <f t="shared" si="16"/>
        <v>0.000397260274</v>
      </c>
      <c r="BH29" s="113">
        <f t="shared" si="17"/>
        <v>230.8479452</v>
      </c>
      <c r="BI29" s="177">
        <f>3511-961</f>
        <v>2550</v>
      </c>
      <c r="BJ29" s="184">
        <v>43245.0</v>
      </c>
      <c r="BK29" s="184">
        <v>43313.0</v>
      </c>
      <c r="BL29" s="180">
        <f>BK29-BJ29</f>
        <v>68</v>
      </c>
      <c r="BM29" s="188">
        <v>0.005</v>
      </c>
      <c r="BN29" s="182">
        <f>BI29*BL29*BM29</f>
        <v>867</v>
      </c>
      <c r="BO29" s="183">
        <f t="shared" si="18"/>
        <v>1097.847945</v>
      </c>
      <c r="BP29" s="33">
        <v>7450.0</v>
      </c>
      <c r="BQ29" s="184">
        <v>43266.0</v>
      </c>
      <c r="BR29" s="184">
        <v>43313.0</v>
      </c>
      <c r="BS29" s="152">
        <f t="shared" si="7"/>
        <v>47</v>
      </c>
      <c r="BT29" s="185">
        <f t="shared" si="8"/>
        <v>0.000397260274</v>
      </c>
      <c r="BU29" s="113">
        <f t="shared" si="9"/>
        <v>139.1006849</v>
      </c>
      <c r="BV29" s="33">
        <v>2737.0</v>
      </c>
      <c r="BW29" s="184">
        <v>43276.0</v>
      </c>
      <c r="BX29" s="184">
        <v>43313.0</v>
      </c>
      <c r="BY29" s="180">
        <f>BX29-BW29</f>
        <v>37</v>
      </c>
      <c r="BZ29" s="188">
        <v>0.005</v>
      </c>
      <c r="CA29" s="182">
        <f>BV29*BY29*BZ29</f>
        <v>506.345</v>
      </c>
      <c r="CB29" s="183">
        <f t="shared" si="10"/>
        <v>645.4456849</v>
      </c>
      <c r="CC29" s="33">
        <v>7450.0</v>
      </c>
      <c r="CD29" s="184">
        <v>43296.0</v>
      </c>
      <c r="CE29" s="184">
        <v>43313.0</v>
      </c>
      <c r="CF29" s="152">
        <f t="shared" si="11"/>
        <v>17</v>
      </c>
      <c r="CG29" s="185">
        <f t="shared" si="12"/>
        <v>0.000397260274</v>
      </c>
      <c r="CH29" s="113">
        <f t="shared" si="13"/>
        <v>50.3130137</v>
      </c>
      <c r="CI29" s="33">
        <v>1845.0</v>
      </c>
      <c r="CJ29" s="184">
        <v>43306.0</v>
      </c>
      <c r="CK29" s="184">
        <v>43313.0</v>
      </c>
      <c r="CL29" s="180">
        <f>CK29-CJ29</f>
        <v>7</v>
      </c>
      <c r="CM29" s="188">
        <v>0.005</v>
      </c>
      <c r="CN29" s="182">
        <f>CI29*CL29*CM29</f>
        <v>64.575</v>
      </c>
      <c r="CO29" s="183">
        <f t="shared" si="14"/>
        <v>114.8880137</v>
      </c>
      <c r="CP29" s="177"/>
      <c r="CQ29" s="178"/>
      <c r="CR29" s="178"/>
      <c r="CS29" s="152"/>
      <c r="CT29" s="179"/>
      <c r="CU29" s="113"/>
      <c r="CV29" s="177"/>
      <c r="CW29" s="178"/>
      <c r="CX29" s="178"/>
      <c r="CY29" s="180"/>
      <c r="CZ29" s="181"/>
      <c r="DA29" s="182"/>
      <c r="DB29" s="183"/>
      <c r="DC29" s="177"/>
      <c r="DD29" s="178"/>
      <c r="DE29" s="178"/>
      <c r="DF29" s="152"/>
      <c r="DG29" s="179"/>
      <c r="DH29" s="113"/>
      <c r="DI29" s="177"/>
      <c r="DJ29" s="178"/>
      <c r="DK29" s="178"/>
      <c r="DL29" s="180"/>
      <c r="DM29" s="181"/>
      <c r="DN29" s="182"/>
      <c r="DO29" s="183"/>
      <c r="DP29" s="177"/>
      <c r="DQ29" s="178"/>
      <c r="DR29" s="178"/>
      <c r="DS29" s="152"/>
      <c r="DT29" s="179"/>
      <c r="DU29" s="113"/>
      <c r="DV29" s="177"/>
      <c r="DW29" s="178"/>
      <c r="DX29" s="178"/>
      <c r="DY29" s="180"/>
      <c r="DZ29" s="181"/>
      <c r="EA29" s="182"/>
      <c r="EB29" s="183"/>
      <c r="EC29" s="177"/>
      <c r="ED29" s="178"/>
      <c r="EE29" s="178"/>
      <c r="EF29" s="152"/>
      <c r="EG29" s="179"/>
      <c r="EH29" s="113"/>
      <c r="EI29" s="177"/>
      <c r="EJ29" s="178"/>
      <c r="EK29" s="178"/>
      <c r="EL29" s="180"/>
      <c r="EM29" s="181"/>
      <c r="EN29" s="182"/>
      <c r="EO29" s="183"/>
      <c r="EP29" s="1"/>
      <c r="EQ29" s="1"/>
      <c r="ER29" s="1"/>
      <c r="ES29" s="1"/>
      <c r="ET29" s="1"/>
      <c r="EU29" s="41">
        <f t="shared" si="6"/>
        <v>1858.181644</v>
      </c>
      <c r="EV29" s="186"/>
      <c r="EW29" s="54"/>
      <c r="EX29" s="54"/>
      <c r="EY29" s="55"/>
      <c r="EZ29" s="61">
        <f t="shared" si="1"/>
        <v>0</v>
      </c>
      <c r="FA29" s="1"/>
    </row>
    <row r="30" ht="13.5" customHeight="1">
      <c r="A30" s="48" t="s">
        <v>126</v>
      </c>
      <c r="B30" s="49" t="s">
        <v>127</v>
      </c>
      <c r="C30" s="177"/>
      <c r="D30" s="178"/>
      <c r="E30" s="178"/>
      <c r="F30" s="152"/>
      <c r="G30" s="179"/>
      <c r="H30" s="113"/>
      <c r="I30" s="177"/>
      <c r="J30" s="178"/>
      <c r="K30" s="178"/>
      <c r="L30" s="180"/>
      <c r="M30" s="181"/>
      <c r="N30" s="182"/>
      <c r="O30" s="183"/>
      <c r="P30" s="177"/>
      <c r="Q30" s="178"/>
      <c r="R30" s="178"/>
      <c r="S30" s="152"/>
      <c r="T30" s="179"/>
      <c r="U30" s="113"/>
      <c r="V30" s="177"/>
      <c r="W30" s="178"/>
      <c r="X30" s="178"/>
      <c r="Y30" s="180"/>
      <c r="Z30" s="181"/>
      <c r="AA30" s="182"/>
      <c r="AB30" s="183"/>
      <c r="AC30" s="177"/>
      <c r="AD30" s="178"/>
      <c r="AE30" s="178"/>
      <c r="AF30" s="152"/>
      <c r="AG30" s="179"/>
      <c r="AH30" s="113"/>
      <c r="AI30" s="177"/>
      <c r="AJ30" s="178"/>
      <c r="AK30" s="178"/>
      <c r="AL30" s="180"/>
      <c r="AM30" s="181"/>
      <c r="AN30" s="182"/>
      <c r="AO30" s="183"/>
      <c r="AP30" s="177"/>
      <c r="AQ30" s="178"/>
      <c r="AR30" s="178"/>
      <c r="AS30" s="152"/>
      <c r="AT30" s="179"/>
      <c r="AU30" s="113"/>
      <c r="AV30" s="177"/>
      <c r="AW30" s="178"/>
      <c r="AX30" s="178"/>
      <c r="AY30" s="180"/>
      <c r="AZ30" s="181"/>
      <c r="BA30" s="182"/>
      <c r="BB30" s="183"/>
      <c r="BC30" s="33">
        <v>7450.0</v>
      </c>
      <c r="BD30" s="184">
        <v>43235.0</v>
      </c>
      <c r="BE30" s="184">
        <v>43313.0</v>
      </c>
      <c r="BF30" s="152">
        <f t="shared" si="15"/>
        <v>78</v>
      </c>
      <c r="BG30" s="185">
        <f t="shared" si="16"/>
        <v>0.000397260274</v>
      </c>
      <c r="BH30" s="113">
        <f t="shared" si="17"/>
        <v>230.8479452</v>
      </c>
      <c r="BI30" s="177"/>
      <c r="BJ30" s="178"/>
      <c r="BK30" s="178"/>
      <c r="BL30" s="180"/>
      <c r="BM30" s="181"/>
      <c r="BN30" s="182"/>
      <c r="BO30" s="183">
        <f t="shared" si="18"/>
        <v>230.8479452</v>
      </c>
      <c r="BP30" s="33">
        <v>7450.0</v>
      </c>
      <c r="BQ30" s="184">
        <v>43266.0</v>
      </c>
      <c r="BR30" s="184">
        <v>43313.0</v>
      </c>
      <c r="BS30" s="152">
        <f t="shared" si="7"/>
        <v>47</v>
      </c>
      <c r="BT30" s="185">
        <f t="shared" si="8"/>
        <v>0.000397260274</v>
      </c>
      <c r="BU30" s="113">
        <f t="shared" si="9"/>
        <v>139.1006849</v>
      </c>
      <c r="BV30" s="177"/>
      <c r="BW30" s="178"/>
      <c r="BX30" s="178"/>
      <c r="BY30" s="180"/>
      <c r="BZ30" s="181"/>
      <c r="CA30" s="182"/>
      <c r="CB30" s="183">
        <f t="shared" si="10"/>
        <v>139.1006849</v>
      </c>
      <c r="CC30" s="33">
        <v>7450.0</v>
      </c>
      <c r="CD30" s="184">
        <v>43296.0</v>
      </c>
      <c r="CE30" s="184">
        <v>43313.0</v>
      </c>
      <c r="CF30" s="152">
        <f t="shared" si="11"/>
        <v>17</v>
      </c>
      <c r="CG30" s="185">
        <f t="shared" si="12"/>
        <v>0.000397260274</v>
      </c>
      <c r="CH30" s="113">
        <f t="shared" si="13"/>
        <v>50.3130137</v>
      </c>
      <c r="CI30" s="177"/>
      <c r="CJ30" s="178"/>
      <c r="CK30" s="178"/>
      <c r="CL30" s="180"/>
      <c r="CM30" s="181"/>
      <c r="CN30" s="182"/>
      <c r="CO30" s="183">
        <f t="shared" si="14"/>
        <v>50.3130137</v>
      </c>
      <c r="CP30" s="177"/>
      <c r="CQ30" s="178"/>
      <c r="CR30" s="178"/>
      <c r="CS30" s="152"/>
      <c r="CT30" s="179"/>
      <c r="CU30" s="113"/>
      <c r="CV30" s="177"/>
      <c r="CW30" s="178"/>
      <c r="CX30" s="178"/>
      <c r="CY30" s="180"/>
      <c r="CZ30" s="181"/>
      <c r="DA30" s="182"/>
      <c r="DB30" s="183"/>
      <c r="DC30" s="177"/>
      <c r="DD30" s="178"/>
      <c r="DE30" s="178"/>
      <c r="DF30" s="152"/>
      <c r="DG30" s="179"/>
      <c r="DH30" s="113"/>
      <c r="DI30" s="177"/>
      <c r="DJ30" s="178"/>
      <c r="DK30" s="178"/>
      <c r="DL30" s="180"/>
      <c r="DM30" s="181"/>
      <c r="DN30" s="182"/>
      <c r="DO30" s="183"/>
      <c r="DP30" s="177"/>
      <c r="DQ30" s="178"/>
      <c r="DR30" s="178"/>
      <c r="DS30" s="152"/>
      <c r="DT30" s="179"/>
      <c r="DU30" s="113"/>
      <c r="DV30" s="177"/>
      <c r="DW30" s="178"/>
      <c r="DX30" s="178"/>
      <c r="DY30" s="180"/>
      <c r="DZ30" s="181"/>
      <c r="EA30" s="182"/>
      <c r="EB30" s="183"/>
      <c r="EC30" s="177"/>
      <c r="ED30" s="178"/>
      <c r="EE30" s="178"/>
      <c r="EF30" s="152"/>
      <c r="EG30" s="179"/>
      <c r="EH30" s="113"/>
      <c r="EI30" s="177"/>
      <c r="EJ30" s="178"/>
      <c r="EK30" s="178"/>
      <c r="EL30" s="180"/>
      <c r="EM30" s="181"/>
      <c r="EN30" s="182"/>
      <c r="EO30" s="183"/>
      <c r="EP30" s="1"/>
      <c r="EQ30" s="1"/>
      <c r="ER30" s="1"/>
      <c r="ES30" s="1"/>
      <c r="ET30" s="1"/>
      <c r="EU30" s="41">
        <f t="shared" si="6"/>
        <v>420.2616438</v>
      </c>
      <c r="EV30" s="186"/>
      <c r="EW30" s="54"/>
      <c r="EX30" s="54"/>
      <c r="EY30" s="55"/>
      <c r="EZ30" s="61">
        <f t="shared" si="1"/>
        <v>0</v>
      </c>
      <c r="FA30" s="1"/>
    </row>
    <row r="31" ht="13.5" customHeight="1">
      <c r="A31" s="48" t="s">
        <v>128</v>
      </c>
      <c r="B31" s="49" t="s">
        <v>129</v>
      </c>
      <c r="C31" s="177"/>
      <c r="D31" s="178"/>
      <c r="E31" s="178"/>
      <c r="F31" s="152"/>
      <c r="G31" s="179"/>
      <c r="H31" s="113"/>
      <c r="I31" s="177"/>
      <c r="J31" s="178"/>
      <c r="K31" s="178"/>
      <c r="L31" s="180"/>
      <c r="M31" s="181"/>
      <c r="N31" s="182"/>
      <c r="O31" s="183"/>
      <c r="P31" s="177"/>
      <c r="Q31" s="178"/>
      <c r="R31" s="178"/>
      <c r="S31" s="152"/>
      <c r="T31" s="179"/>
      <c r="U31" s="113"/>
      <c r="V31" s="177"/>
      <c r="W31" s="178"/>
      <c r="X31" s="178"/>
      <c r="Y31" s="180"/>
      <c r="Z31" s="181"/>
      <c r="AA31" s="182"/>
      <c r="AB31" s="183"/>
      <c r="AC31" s="177"/>
      <c r="AD31" s="178"/>
      <c r="AE31" s="178"/>
      <c r="AF31" s="152"/>
      <c r="AG31" s="179"/>
      <c r="AH31" s="113"/>
      <c r="AI31" s="177"/>
      <c r="AJ31" s="178"/>
      <c r="AK31" s="178"/>
      <c r="AL31" s="180"/>
      <c r="AM31" s="181"/>
      <c r="AN31" s="182"/>
      <c r="AO31" s="183"/>
      <c r="AP31" s="177"/>
      <c r="AQ31" s="178"/>
      <c r="AR31" s="178"/>
      <c r="AS31" s="152"/>
      <c r="AT31" s="179"/>
      <c r="AU31" s="113"/>
      <c r="AV31" s="177"/>
      <c r="AW31" s="178"/>
      <c r="AX31" s="178"/>
      <c r="AY31" s="180"/>
      <c r="AZ31" s="181"/>
      <c r="BA31" s="182"/>
      <c r="BB31" s="183"/>
      <c r="BC31" s="177"/>
      <c r="BD31" s="178"/>
      <c r="BE31" s="178"/>
      <c r="BF31" s="152"/>
      <c r="BG31" s="179"/>
      <c r="BH31" s="113"/>
      <c r="BI31" s="177"/>
      <c r="BJ31" s="178"/>
      <c r="BK31" s="178"/>
      <c r="BL31" s="180"/>
      <c r="BM31" s="181"/>
      <c r="BN31" s="182"/>
      <c r="BO31" s="187"/>
      <c r="BP31" s="177"/>
      <c r="BQ31" s="178"/>
      <c r="BR31" s="178"/>
      <c r="BS31" s="152"/>
      <c r="BT31" s="179"/>
      <c r="BU31" s="113"/>
      <c r="BV31" s="177"/>
      <c r="BW31" s="178"/>
      <c r="BX31" s="178"/>
      <c r="BY31" s="180"/>
      <c r="BZ31" s="181"/>
      <c r="CA31" s="182"/>
      <c r="CB31" s="187"/>
      <c r="CC31" s="33">
        <v>9983.0</v>
      </c>
      <c r="CD31" s="184">
        <v>43296.0</v>
      </c>
      <c r="CE31" s="184">
        <v>43313.0</v>
      </c>
      <c r="CF31" s="152">
        <f t="shared" si="11"/>
        <v>17</v>
      </c>
      <c r="CG31" s="185">
        <f t="shared" si="12"/>
        <v>0.000397260274</v>
      </c>
      <c r="CH31" s="113">
        <f t="shared" si="13"/>
        <v>67.41943836</v>
      </c>
      <c r="CI31" s="33">
        <v>1640.0</v>
      </c>
      <c r="CJ31" s="184">
        <v>43306.0</v>
      </c>
      <c r="CK31" s="184">
        <v>43313.0</v>
      </c>
      <c r="CL31" s="180">
        <f>CK31-CJ31</f>
        <v>7</v>
      </c>
      <c r="CM31" s="188">
        <v>0.005</v>
      </c>
      <c r="CN31" s="182">
        <f>CI31*CL31*CM31</f>
        <v>57.4</v>
      </c>
      <c r="CO31" s="183">
        <f t="shared" si="14"/>
        <v>124.8194384</v>
      </c>
      <c r="CP31" s="177"/>
      <c r="CQ31" s="178"/>
      <c r="CR31" s="178"/>
      <c r="CS31" s="152"/>
      <c r="CT31" s="179"/>
      <c r="CU31" s="113"/>
      <c r="CV31" s="177"/>
      <c r="CW31" s="178"/>
      <c r="CX31" s="178"/>
      <c r="CY31" s="180"/>
      <c r="CZ31" s="181"/>
      <c r="DA31" s="182"/>
      <c r="DB31" s="183"/>
      <c r="DC31" s="177"/>
      <c r="DD31" s="178"/>
      <c r="DE31" s="178"/>
      <c r="DF31" s="152"/>
      <c r="DG31" s="179"/>
      <c r="DH31" s="113"/>
      <c r="DI31" s="177"/>
      <c r="DJ31" s="178"/>
      <c r="DK31" s="178"/>
      <c r="DL31" s="180"/>
      <c r="DM31" s="181"/>
      <c r="DN31" s="182"/>
      <c r="DO31" s="183"/>
      <c r="DP31" s="177"/>
      <c r="DQ31" s="178"/>
      <c r="DR31" s="178"/>
      <c r="DS31" s="152"/>
      <c r="DT31" s="179"/>
      <c r="DU31" s="113"/>
      <c r="DV31" s="177"/>
      <c r="DW31" s="178"/>
      <c r="DX31" s="178"/>
      <c r="DY31" s="180"/>
      <c r="DZ31" s="181"/>
      <c r="EA31" s="182"/>
      <c r="EB31" s="183"/>
      <c r="EC31" s="177"/>
      <c r="ED31" s="178"/>
      <c r="EE31" s="178"/>
      <c r="EF31" s="152"/>
      <c r="EG31" s="179"/>
      <c r="EH31" s="113"/>
      <c r="EI31" s="177"/>
      <c r="EJ31" s="178"/>
      <c r="EK31" s="178"/>
      <c r="EL31" s="180"/>
      <c r="EM31" s="181"/>
      <c r="EN31" s="182"/>
      <c r="EO31" s="183"/>
      <c r="EP31" s="1"/>
      <c r="EQ31" s="1"/>
      <c r="ER31" s="1"/>
      <c r="ES31" s="1"/>
      <c r="ET31" s="1"/>
      <c r="EU31" s="41">
        <f t="shared" si="6"/>
        <v>124.8194384</v>
      </c>
      <c r="EV31" s="186"/>
      <c r="EW31" s="54"/>
      <c r="EX31" s="54"/>
      <c r="EY31" s="55"/>
      <c r="EZ31" s="61">
        <f t="shared" si="1"/>
        <v>0</v>
      </c>
      <c r="FA31" s="1"/>
    </row>
    <row r="32" ht="13.5" customHeight="1">
      <c r="A32" s="48" t="s">
        <v>130</v>
      </c>
      <c r="B32" s="112" t="s">
        <v>132</v>
      </c>
      <c r="C32" s="177"/>
      <c r="D32" s="178"/>
      <c r="E32" s="178"/>
      <c r="F32" s="152"/>
      <c r="G32" s="179"/>
      <c r="H32" s="113"/>
      <c r="I32" s="177"/>
      <c r="J32" s="178"/>
      <c r="K32" s="178"/>
      <c r="L32" s="180"/>
      <c r="M32" s="181"/>
      <c r="N32" s="182"/>
      <c r="O32" s="187"/>
      <c r="P32" s="177"/>
      <c r="Q32" s="178"/>
      <c r="R32" s="178"/>
      <c r="S32" s="152"/>
      <c r="T32" s="179"/>
      <c r="U32" s="113"/>
      <c r="V32" s="177"/>
      <c r="W32" s="178"/>
      <c r="X32" s="178"/>
      <c r="Y32" s="180"/>
      <c r="Z32" s="181"/>
      <c r="AA32" s="182"/>
      <c r="AB32" s="187"/>
      <c r="AC32" s="177"/>
      <c r="AD32" s="178"/>
      <c r="AE32" s="178"/>
      <c r="AF32" s="152"/>
      <c r="AG32" s="179"/>
      <c r="AH32" s="113"/>
      <c r="AI32" s="177"/>
      <c r="AJ32" s="178"/>
      <c r="AK32" s="178"/>
      <c r="AL32" s="180"/>
      <c r="AM32" s="181"/>
      <c r="AN32" s="182"/>
      <c r="AO32" s="187"/>
      <c r="AP32" s="177"/>
      <c r="AQ32" s="178"/>
      <c r="AR32" s="178"/>
      <c r="AS32" s="152"/>
      <c r="AT32" s="179"/>
      <c r="AU32" s="113"/>
      <c r="AV32" s="177"/>
      <c r="AW32" s="178"/>
      <c r="AX32" s="178"/>
      <c r="AY32" s="180"/>
      <c r="AZ32" s="181"/>
      <c r="BA32" s="182"/>
      <c r="BB32" s="187"/>
      <c r="BC32" s="177"/>
      <c r="BD32" s="178"/>
      <c r="BE32" s="178"/>
      <c r="BF32" s="152"/>
      <c r="BG32" s="179"/>
      <c r="BH32" s="113"/>
      <c r="BI32" s="177"/>
      <c r="BJ32" s="178"/>
      <c r="BK32" s="178"/>
      <c r="BL32" s="180"/>
      <c r="BM32" s="181"/>
      <c r="BN32" s="182"/>
      <c r="BO32" s="187"/>
      <c r="BP32" s="177"/>
      <c r="BQ32" s="178"/>
      <c r="BR32" s="178"/>
      <c r="BS32" s="152"/>
      <c r="BT32" s="179"/>
      <c r="BU32" s="113"/>
      <c r="BV32" s="177"/>
      <c r="BW32" s="178"/>
      <c r="BX32" s="178"/>
      <c r="BY32" s="180"/>
      <c r="BZ32" s="181"/>
      <c r="CA32" s="182"/>
      <c r="CB32" s="183"/>
      <c r="CC32" s="177"/>
      <c r="CD32" s="178"/>
      <c r="CE32" s="178"/>
      <c r="CF32" s="152"/>
      <c r="CG32" s="179"/>
      <c r="CH32" s="113"/>
      <c r="CI32" s="177"/>
      <c r="CJ32" s="178"/>
      <c r="CK32" s="178"/>
      <c r="CL32" s="180"/>
      <c r="CM32" s="181"/>
      <c r="CN32" s="182"/>
      <c r="CO32" s="183"/>
      <c r="CP32" s="177"/>
      <c r="CQ32" s="178"/>
      <c r="CR32" s="178"/>
      <c r="CS32" s="152"/>
      <c r="CT32" s="179"/>
      <c r="CU32" s="113"/>
      <c r="CV32" s="177"/>
      <c r="CW32" s="178"/>
      <c r="CX32" s="178"/>
      <c r="CY32" s="180"/>
      <c r="CZ32" s="181"/>
      <c r="DA32" s="182"/>
      <c r="DB32" s="183"/>
      <c r="DC32" s="177"/>
      <c r="DD32" s="178"/>
      <c r="DE32" s="178"/>
      <c r="DF32" s="152"/>
      <c r="DG32" s="179"/>
      <c r="DH32" s="113"/>
      <c r="DI32" s="177"/>
      <c r="DJ32" s="178"/>
      <c r="DK32" s="178"/>
      <c r="DL32" s="180"/>
      <c r="DM32" s="181"/>
      <c r="DN32" s="182"/>
      <c r="DO32" s="183"/>
      <c r="DP32" s="177"/>
      <c r="DQ32" s="178"/>
      <c r="DR32" s="178"/>
      <c r="DS32" s="152"/>
      <c r="DT32" s="179"/>
      <c r="DU32" s="113"/>
      <c r="DV32" s="177"/>
      <c r="DW32" s="178"/>
      <c r="DX32" s="178"/>
      <c r="DY32" s="180"/>
      <c r="DZ32" s="181"/>
      <c r="EA32" s="182"/>
      <c r="EB32" s="183"/>
      <c r="EC32" s="177"/>
      <c r="ED32" s="178"/>
      <c r="EE32" s="178"/>
      <c r="EF32" s="152"/>
      <c r="EG32" s="179"/>
      <c r="EH32" s="113"/>
      <c r="EI32" s="177"/>
      <c r="EJ32" s="178"/>
      <c r="EK32" s="178"/>
      <c r="EL32" s="180"/>
      <c r="EM32" s="181"/>
      <c r="EN32" s="182"/>
      <c r="EO32" s="183"/>
      <c r="EP32" s="1"/>
      <c r="EQ32" s="1"/>
      <c r="ER32" s="1"/>
      <c r="ES32" s="1"/>
      <c r="ET32" s="1"/>
      <c r="EU32" s="41">
        <f t="shared" si="6"/>
        <v>0</v>
      </c>
      <c r="EV32" s="186"/>
      <c r="EW32" s="54"/>
      <c r="EX32" s="54"/>
      <c r="EY32" s="55"/>
      <c r="EZ32" s="61">
        <f t="shared" si="1"/>
        <v>0</v>
      </c>
      <c r="FA32" s="1"/>
    </row>
    <row r="33" ht="13.5" customHeight="1">
      <c r="A33" s="48" t="s">
        <v>136</v>
      </c>
      <c r="B33" s="112" t="s">
        <v>137</v>
      </c>
      <c r="C33" s="177"/>
      <c r="D33" s="178"/>
      <c r="E33" s="178"/>
      <c r="F33" s="152"/>
      <c r="G33" s="179"/>
      <c r="H33" s="113"/>
      <c r="I33" s="177"/>
      <c r="J33" s="178"/>
      <c r="K33" s="178"/>
      <c r="L33" s="180"/>
      <c r="M33" s="181"/>
      <c r="N33" s="182"/>
      <c r="O33" s="187"/>
      <c r="P33" s="177"/>
      <c r="Q33" s="189"/>
      <c r="R33" s="189"/>
      <c r="S33" s="190"/>
      <c r="T33" s="179"/>
      <c r="U33" s="113"/>
      <c r="V33" s="177"/>
      <c r="W33" s="189"/>
      <c r="X33" s="189"/>
      <c r="Y33" s="180"/>
      <c r="Z33" s="181"/>
      <c r="AA33" s="182"/>
      <c r="AB33" s="183"/>
      <c r="AC33" s="177"/>
      <c r="AD33" s="189"/>
      <c r="AE33" s="189"/>
      <c r="AF33" s="190"/>
      <c r="AG33" s="179"/>
      <c r="AH33" s="113"/>
      <c r="AI33" s="177"/>
      <c r="AJ33" s="189"/>
      <c r="AK33" s="189"/>
      <c r="AL33" s="180"/>
      <c r="AM33" s="181"/>
      <c r="AN33" s="182"/>
      <c r="AO33" s="183"/>
      <c r="AP33" s="177"/>
      <c r="AQ33" s="189"/>
      <c r="AR33" s="189"/>
      <c r="AS33" s="190"/>
      <c r="AT33" s="179"/>
      <c r="AU33" s="113"/>
      <c r="AV33" s="177"/>
      <c r="AW33" s="189"/>
      <c r="AX33" s="189"/>
      <c r="AY33" s="180"/>
      <c r="AZ33" s="181"/>
      <c r="BA33" s="182"/>
      <c r="BB33" s="183"/>
      <c r="BC33" s="177"/>
      <c r="BD33" s="178"/>
      <c r="BE33" s="178"/>
      <c r="BF33" s="152"/>
      <c r="BG33" s="179"/>
      <c r="BH33" s="113"/>
      <c r="BI33" s="177"/>
      <c r="BJ33" s="178"/>
      <c r="BK33" s="178"/>
      <c r="BL33" s="180"/>
      <c r="BM33" s="181"/>
      <c r="BN33" s="182"/>
      <c r="BO33" s="183"/>
      <c r="BP33" s="177"/>
      <c r="BQ33" s="178"/>
      <c r="BR33" s="178"/>
      <c r="BS33" s="152"/>
      <c r="BT33" s="179"/>
      <c r="BU33" s="113"/>
      <c r="BV33" s="177"/>
      <c r="BW33" s="178"/>
      <c r="BX33" s="178"/>
      <c r="BY33" s="180"/>
      <c r="BZ33" s="181"/>
      <c r="CA33" s="182"/>
      <c r="CB33" s="183"/>
      <c r="CC33" s="177"/>
      <c r="CD33" s="178"/>
      <c r="CE33" s="178"/>
      <c r="CF33" s="152"/>
      <c r="CG33" s="179"/>
      <c r="CH33" s="113"/>
      <c r="CI33" s="177"/>
      <c r="CJ33" s="178"/>
      <c r="CK33" s="178"/>
      <c r="CL33" s="180"/>
      <c r="CM33" s="181"/>
      <c r="CN33" s="182"/>
      <c r="CO33" s="183"/>
      <c r="CP33" s="177"/>
      <c r="CQ33" s="178"/>
      <c r="CR33" s="178"/>
      <c r="CS33" s="152"/>
      <c r="CT33" s="179"/>
      <c r="CU33" s="113"/>
      <c r="CV33" s="177"/>
      <c r="CW33" s="178"/>
      <c r="CX33" s="178"/>
      <c r="CY33" s="180"/>
      <c r="CZ33" s="181"/>
      <c r="DA33" s="182"/>
      <c r="DB33" s="183"/>
      <c r="DC33" s="177"/>
      <c r="DD33" s="178"/>
      <c r="DE33" s="178"/>
      <c r="DF33" s="152"/>
      <c r="DG33" s="179"/>
      <c r="DH33" s="113"/>
      <c r="DI33" s="177"/>
      <c r="DJ33" s="178"/>
      <c r="DK33" s="178"/>
      <c r="DL33" s="180"/>
      <c r="DM33" s="181"/>
      <c r="DN33" s="182"/>
      <c r="DO33" s="183"/>
      <c r="DP33" s="177"/>
      <c r="DQ33" s="178"/>
      <c r="DR33" s="178"/>
      <c r="DS33" s="152"/>
      <c r="DT33" s="179"/>
      <c r="DU33" s="113"/>
      <c r="DV33" s="177"/>
      <c r="DW33" s="178"/>
      <c r="DX33" s="178"/>
      <c r="DY33" s="180"/>
      <c r="DZ33" s="181"/>
      <c r="EA33" s="182"/>
      <c r="EB33" s="183"/>
      <c r="EC33" s="177"/>
      <c r="ED33" s="178"/>
      <c r="EE33" s="178"/>
      <c r="EF33" s="152"/>
      <c r="EG33" s="179"/>
      <c r="EH33" s="113"/>
      <c r="EI33" s="177"/>
      <c r="EJ33" s="178"/>
      <c r="EK33" s="178"/>
      <c r="EL33" s="180"/>
      <c r="EM33" s="181"/>
      <c r="EN33" s="182"/>
      <c r="EO33" s="183"/>
      <c r="EP33" s="1"/>
      <c r="EQ33" s="1"/>
      <c r="ER33" s="1"/>
      <c r="ES33" s="1"/>
      <c r="ET33" s="1"/>
      <c r="EU33" s="41">
        <f t="shared" si="6"/>
        <v>0</v>
      </c>
      <c r="EV33" s="186"/>
      <c r="EW33" s="54"/>
      <c r="EX33" s="54"/>
      <c r="EY33" s="55"/>
      <c r="EZ33" s="61">
        <f t="shared" si="1"/>
        <v>0</v>
      </c>
      <c r="FA33" s="1"/>
    </row>
    <row r="34" ht="13.5" customHeight="1">
      <c r="A34" s="48" t="s">
        <v>140</v>
      </c>
      <c r="B34" s="49" t="s">
        <v>141</v>
      </c>
      <c r="C34" s="177"/>
      <c r="D34" s="178"/>
      <c r="E34" s="178"/>
      <c r="F34" s="152"/>
      <c r="G34" s="179"/>
      <c r="H34" s="113"/>
      <c r="I34" s="177"/>
      <c r="J34" s="178"/>
      <c r="K34" s="178"/>
      <c r="L34" s="180"/>
      <c r="M34" s="181"/>
      <c r="N34" s="182"/>
      <c r="O34" s="183"/>
      <c r="P34" s="177"/>
      <c r="Q34" s="178"/>
      <c r="R34" s="178"/>
      <c r="S34" s="152"/>
      <c r="T34" s="179"/>
      <c r="U34" s="113"/>
      <c r="V34" s="177"/>
      <c r="W34" s="178"/>
      <c r="X34" s="178"/>
      <c r="Y34" s="180"/>
      <c r="Z34" s="181"/>
      <c r="AA34" s="182"/>
      <c r="AB34" s="183"/>
      <c r="AC34" s="177"/>
      <c r="AD34" s="178"/>
      <c r="AE34" s="178"/>
      <c r="AF34" s="152"/>
      <c r="AG34" s="179"/>
      <c r="AH34" s="113"/>
      <c r="AI34" s="177"/>
      <c r="AJ34" s="178"/>
      <c r="AK34" s="178"/>
      <c r="AL34" s="180"/>
      <c r="AM34" s="181"/>
      <c r="AN34" s="182"/>
      <c r="AO34" s="183"/>
      <c r="AP34" s="177"/>
      <c r="AQ34" s="178"/>
      <c r="AR34" s="178"/>
      <c r="AS34" s="152"/>
      <c r="AT34" s="179"/>
      <c r="AU34" s="113"/>
      <c r="AV34" s="177"/>
      <c r="AW34" s="178"/>
      <c r="AX34" s="178"/>
      <c r="AY34" s="180"/>
      <c r="AZ34" s="181"/>
      <c r="BA34" s="182"/>
      <c r="BB34" s="183"/>
      <c r="BC34" s="177"/>
      <c r="BD34" s="178"/>
      <c r="BE34" s="178"/>
      <c r="BF34" s="152"/>
      <c r="BG34" s="179"/>
      <c r="BH34" s="113"/>
      <c r="BI34" s="177"/>
      <c r="BJ34" s="178"/>
      <c r="BK34" s="178"/>
      <c r="BL34" s="180"/>
      <c r="BM34" s="181"/>
      <c r="BN34" s="182"/>
      <c r="BO34" s="183"/>
      <c r="BP34" s="177"/>
      <c r="BQ34" s="178"/>
      <c r="BR34" s="178"/>
      <c r="BS34" s="152"/>
      <c r="BT34" s="179"/>
      <c r="BU34" s="113"/>
      <c r="BV34" s="177"/>
      <c r="BW34" s="178"/>
      <c r="BX34" s="178"/>
      <c r="BY34" s="180"/>
      <c r="BZ34" s="181"/>
      <c r="CA34" s="182"/>
      <c r="CB34" s="183"/>
      <c r="CC34" s="177"/>
      <c r="CD34" s="178"/>
      <c r="CE34" s="178"/>
      <c r="CF34" s="152"/>
      <c r="CG34" s="179"/>
      <c r="CH34" s="113"/>
      <c r="CI34" s="177"/>
      <c r="CJ34" s="178"/>
      <c r="CK34" s="178"/>
      <c r="CL34" s="180"/>
      <c r="CM34" s="181"/>
      <c r="CN34" s="182"/>
      <c r="CO34" s="183"/>
      <c r="CP34" s="177"/>
      <c r="CQ34" s="178"/>
      <c r="CR34" s="178"/>
      <c r="CS34" s="152"/>
      <c r="CT34" s="179"/>
      <c r="CU34" s="113"/>
      <c r="CV34" s="177"/>
      <c r="CW34" s="178"/>
      <c r="CX34" s="178"/>
      <c r="CY34" s="180"/>
      <c r="CZ34" s="181"/>
      <c r="DA34" s="182"/>
      <c r="DB34" s="183"/>
      <c r="DC34" s="177"/>
      <c r="DD34" s="178"/>
      <c r="DE34" s="178"/>
      <c r="DF34" s="152"/>
      <c r="DG34" s="179"/>
      <c r="DH34" s="113"/>
      <c r="DI34" s="177"/>
      <c r="DJ34" s="178"/>
      <c r="DK34" s="178"/>
      <c r="DL34" s="180"/>
      <c r="DM34" s="181"/>
      <c r="DN34" s="182"/>
      <c r="DO34" s="183"/>
      <c r="DP34" s="177"/>
      <c r="DQ34" s="178"/>
      <c r="DR34" s="178"/>
      <c r="DS34" s="152"/>
      <c r="DT34" s="179"/>
      <c r="DU34" s="113"/>
      <c r="DV34" s="177"/>
      <c r="DW34" s="178"/>
      <c r="DX34" s="178"/>
      <c r="DY34" s="180"/>
      <c r="DZ34" s="181"/>
      <c r="EA34" s="182"/>
      <c r="EB34" s="183"/>
      <c r="EC34" s="177"/>
      <c r="ED34" s="178"/>
      <c r="EE34" s="178"/>
      <c r="EF34" s="152"/>
      <c r="EG34" s="179"/>
      <c r="EH34" s="113"/>
      <c r="EI34" s="177"/>
      <c r="EJ34" s="178"/>
      <c r="EK34" s="178"/>
      <c r="EL34" s="180"/>
      <c r="EM34" s="181"/>
      <c r="EN34" s="182"/>
      <c r="EO34" s="183"/>
      <c r="EP34" s="1"/>
      <c r="EQ34" s="1"/>
      <c r="ER34" s="1"/>
      <c r="ES34" s="1"/>
      <c r="ET34" s="1"/>
      <c r="EU34" s="41">
        <f t="shared" si="6"/>
        <v>0</v>
      </c>
      <c r="EV34" s="186"/>
      <c r="EW34" s="54"/>
      <c r="EX34" s="54"/>
      <c r="EY34" s="55"/>
      <c r="EZ34" s="61">
        <f t="shared" si="1"/>
        <v>0</v>
      </c>
      <c r="FA34" s="1"/>
    </row>
    <row r="35" ht="13.5" customHeight="1">
      <c r="A35" s="48" t="s">
        <v>142</v>
      </c>
      <c r="B35" s="49" t="s">
        <v>143</v>
      </c>
      <c r="C35" s="177"/>
      <c r="D35" s="178"/>
      <c r="E35" s="178"/>
      <c r="F35" s="152"/>
      <c r="G35" s="179"/>
      <c r="H35" s="113"/>
      <c r="I35" s="177"/>
      <c r="J35" s="178"/>
      <c r="K35" s="178"/>
      <c r="L35" s="180"/>
      <c r="M35" s="181"/>
      <c r="N35" s="182"/>
      <c r="O35" s="183"/>
      <c r="P35" s="177"/>
      <c r="Q35" s="178"/>
      <c r="R35" s="178"/>
      <c r="S35" s="152"/>
      <c r="T35" s="179"/>
      <c r="U35" s="113"/>
      <c r="V35" s="177"/>
      <c r="W35" s="178"/>
      <c r="X35" s="178"/>
      <c r="Y35" s="180"/>
      <c r="Z35" s="181"/>
      <c r="AA35" s="182"/>
      <c r="AB35" s="183"/>
      <c r="AC35" s="177"/>
      <c r="AD35" s="178"/>
      <c r="AE35" s="178"/>
      <c r="AF35" s="152"/>
      <c r="AG35" s="179"/>
      <c r="AH35" s="113"/>
      <c r="AI35" s="177"/>
      <c r="AJ35" s="178"/>
      <c r="AK35" s="178"/>
      <c r="AL35" s="180"/>
      <c r="AM35" s="181"/>
      <c r="AN35" s="182"/>
      <c r="AO35" s="187"/>
      <c r="AP35" s="177"/>
      <c r="AQ35" s="178"/>
      <c r="AR35" s="178"/>
      <c r="AS35" s="152"/>
      <c r="AT35" s="179"/>
      <c r="AU35" s="113"/>
      <c r="AV35" s="177"/>
      <c r="AW35" s="178"/>
      <c r="AX35" s="178"/>
      <c r="AY35" s="180"/>
      <c r="AZ35" s="181"/>
      <c r="BA35" s="182"/>
      <c r="BB35" s="183"/>
      <c r="BC35" s="177"/>
      <c r="BD35" s="178"/>
      <c r="BE35" s="178"/>
      <c r="BF35" s="152"/>
      <c r="BG35" s="179"/>
      <c r="BH35" s="113"/>
      <c r="BI35" s="177"/>
      <c r="BJ35" s="178"/>
      <c r="BK35" s="178"/>
      <c r="BL35" s="180"/>
      <c r="BM35" s="181"/>
      <c r="BN35" s="182"/>
      <c r="BO35" s="183"/>
      <c r="BP35" s="177"/>
      <c r="BQ35" s="178"/>
      <c r="BR35" s="178"/>
      <c r="BS35" s="152"/>
      <c r="BT35" s="179"/>
      <c r="BU35" s="113"/>
      <c r="BV35" s="177"/>
      <c r="BW35" s="178"/>
      <c r="BX35" s="178"/>
      <c r="BY35" s="180"/>
      <c r="BZ35" s="181"/>
      <c r="CA35" s="182"/>
      <c r="CB35" s="183"/>
      <c r="CC35" s="177"/>
      <c r="CD35" s="178"/>
      <c r="CE35" s="178"/>
      <c r="CF35" s="152"/>
      <c r="CG35" s="179"/>
      <c r="CH35" s="113"/>
      <c r="CI35" s="177"/>
      <c r="CJ35" s="178"/>
      <c r="CK35" s="178"/>
      <c r="CL35" s="180"/>
      <c r="CM35" s="181"/>
      <c r="CN35" s="182"/>
      <c r="CO35" s="183"/>
      <c r="CP35" s="177"/>
      <c r="CQ35" s="178"/>
      <c r="CR35" s="178"/>
      <c r="CS35" s="152"/>
      <c r="CT35" s="179"/>
      <c r="CU35" s="113"/>
      <c r="CV35" s="177"/>
      <c r="CW35" s="178"/>
      <c r="CX35" s="178"/>
      <c r="CY35" s="180"/>
      <c r="CZ35" s="181"/>
      <c r="DA35" s="182"/>
      <c r="DB35" s="183"/>
      <c r="DC35" s="177"/>
      <c r="DD35" s="178"/>
      <c r="DE35" s="178"/>
      <c r="DF35" s="152"/>
      <c r="DG35" s="179"/>
      <c r="DH35" s="113"/>
      <c r="DI35" s="177"/>
      <c r="DJ35" s="178"/>
      <c r="DK35" s="178"/>
      <c r="DL35" s="180"/>
      <c r="DM35" s="181"/>
      <c r="DN35" s="182"/>
      <c r="DO35" s="183"/>
      <c r="DP35" s="177"/>
      <c r="DQ35" s="178"/>
      <c r="DR35" s="178"/>
      <c r="DS35" s="152"/>
      <c r="DT35" s="179"/>
      <c r="DU35" s="113"/>
      <c r="DV35" s="177"/>
      <c r="DW35" s="178"/>
      <c r="DX35" s="178"/>
      <c r="DY35" s="180"/>
      <c r="DZ35" s="181"/>
      <c r="EA35" s="182"/>
      <c r="EB35" s="183"/>
      <c r="EC35" s="177"/>
      <c r="ED35" s="178"/>
      <c r="EE35" s="178"/>
      <c r="EF35" s="152"/>
      <c r="EG35" s="179"/>
      <c r="EH35" s="113"/>
      <c r="EI35" s="177"/>
      <c r="EJ35" s="178"/>
      <c r="EK35" s="178"/>
      <c r="EL35" s="180"/>
      <c r="EM35" s="181"/>
      <c r="EN35" s="182"/>
      <c r="EO35" s="183"/>
      <c r="EP35" s="1"/>
      <c r="EQ35" s="1"/>
      <c r="ER35" s="1"/>
      <c r="ES35" s="1"/>
      <c r="ET35" s="1"/>
      <c r="EU35" s="41">
        <f t="shared" si="6"/>
        <v>0</v>
      </c>
      <c r="EV35" s="186"/>
      <c r="EW35" s="54"/>
      <c r="EX35" s="54"/>
      <c r="EY35" s="55"/>
      <c r="EZ35" s="61">
        <f t="shared" si="1"/>
        <v>0</v>
      </c>
      <c r="FA35" s="1"/>
    </row>
    <row r="36" ht="13.5" customHeight="1">
      <c r="A36" s="48" t="s">
        <v>144</v>
      </c>
      <c r="B36" s="49" t="s">
        <v>129</v>
      </c>
      <c r="C36" s="177"/>
      <c r="D36" s="178"/>
      <c r="E36" s="178"/>
      <c r="F36" s="152"/>
      <c r="G36" s="179"/>
      <c r="H36" s="113"/>
      <c r="I36" s="177"/>
      <c r="J36" s="178"/>
      <c r="K36" s="178"/>
      <c r="L36" s="180"/>
      <c r="M36" s="181"/>
      <c r="N36" s="182"/>
      <c r="O36" s="183"/>
      <c r="P36" s="177"/>
      <c r="Q36" s="178"/>
      <c r="R36" s="178"/>
      <c r="S36" s="152"/>
      <c r="T36" s="179"/>
      <c r="U36" s="113"/>
      <c r="V36" s="177"/>
      <c r="W36" s="178"/>
      <c r="X36" s="178"/>
      <c r="Y36" s="180"/>
      <c r="Z36" s="181"/>
      <c r="AA36" s="182"/>
      <c r="AB36" s="183"/>
      <c r="AC36" s="177"/>
      <c r="AD36" s="178"/>
      <c r="AE36" s="178"/>
      <c r="AF36" s="152"/>
      <c r="AG36" s="179"/>
      <c r="AH36" s="113"/>
      <c r="AI36" s="177"/>
      <c r="AJ36" s="178"/>
      <c r="AK36" s="178"/>
      <c r="AL36" s="180"/>
      <c r="AM36" s="181"/>
      <c r="AN36" s="182"/>
      <c r="AO36" s="187"/>
      <c r="AP36" s="33">
        <v>7450.0</v>
      </c>
      <c r="AQ36" s="191">
        <v>43205.0</v>
      </c>
      <c r="AR36" s="191">
        <v>43313.0</v>
      </c>
      <c r="AS36" s="190">
        <f>AR36-AQ36</f>
        <v>108</v>
      </c>
      <c r="AT36" s="185">
        <f>0.0725*2/365</f>
        <v>0.000397260274</v>
      </c>
      <c r="AU36" s="113">
        <f>AP36*AS36*AT36</f>
        <v>319.6356164</v>
      </c>
      <c r="AV36" s="177"/>
      <c r="AW36" s="178"/>
      <c r="AX36" s="178"/>
      <c r="AY36" s="180"/>
      <c r="AZ36" s="181"/>
      <c r="BA36" s="182"/>
      <c r="BB36" s="183">
        <f>AU36+BA36</f>
        <v>319.6356164</v>
      </c>
      <c r="BC36" s="33">
        <v>7450.0</v>
      </c>
      <c r="BD36" s="184">
        <v>43235.0</v>
      </c>
      <c r="BE36" s="184">
        <v>43313.0</v>
      </c>
      <c r="BF36" s="152">
        <f>BE36-BD36</f>
        <v>78</v>
      </c>
      <c r="BG36" s="185">
        <f>0.0725*2/365</f>
        <v>0.000397260274</v>
      </c>
      <c r="BH36" s="113">
        <f>BC36*BF36*BG36</f>
        <v>230.8479452</v>
      </c>
      <c r="BI36" s="33">
        <v>470.0</v>
      </c>
      <c r="BJ36" s="184">
        <v>43245.0</v>
      </c>
      <c r="BK36" s="184">
        <v>43313.0</v>
      </c>
      <c r="BL36" s="180">
        <f>BK36-BJ36</f>
        <v>68</v>
      </c>
      <c r="BM36" s="188">
        <v>0.005</v>
      </c>
      <c r="BN36" s="182">
        <f>BI36*BL36*BM36</f>
        <v>159.8</v>
      </c>
      <c r="BO36" s="183">
        <f>BH36+BN36</f>
        <v>390.6479452</v>
      </c>
      <c r="BP36" s="33">
        <v>7450.0</v>
      </c>
      <c r="BQ36" s="184">
        <v>43266.0</v>
      </c>
      <c r="BR36" s="184">
        <v>43313.0</v>
      </c>
      <c r="BS36" s="152">
        <f>BR36-BQ36</f>
        <v>47</v>
      </c>
      <c r="BT36" s="185">
        <f>0.0725*2/365</f>
        <v>0.000397260274</v>
      </c>
      <c r="BU36" s="113">
        <f>BP36*BS36*BT36</f>
        <v>139.1006849</v>
      </c>
      <c r="BV36" s="33">
        <v>564.0</v>
      </c>
      <c r="BW36" s="184">
        <v>43276.0</v>
      </c>
      <c r="BX36" s="184">
        <v>43313.0</v>
      </c>
      <c r="BY36" s="180">
        <f>BX36-BW36</f>
        <v>37</v>
      </c>
      <c r="BZ36" s="188">
        <v>0.005</v>
      </c>
      <c r="CA36" s="182">
        <f>BV36*BY36*BZ36</f>
        <v>104.34</v>
      </c>
      <c r="CB36" s="183">
        <f>CA36+BU36</f>
        <v>243.4406849</v>
      </c>
      <c r="CC36" s="33">
        <v>7450.0</v>
      </c>
      <c r="CD36" s="184">
        <v>43296.0</v>
      </c>
      <c r="CE36" s="184">
        <v>43313.0</v>
      </c>
      <c r="CF36" s="152">
        <f t="shared" ref="CF36:CF37" si="19">CE36-CD36</f>
        <v>17</v>
      </c>
      <c r="CG36" s="185">
        <f t="shared" ref="CG36:CG37" si="20">0.0725*2/365</f>
        <v>0.000397260274</v>
      </c>
      <c r="CH36" s="113">
        <f t="shared" ref="CH36:CH37" si="21">CC36*CF36*CG36</f>
        <v>50.3130137</v>
      </c>
      <c r="CI36" s="33">
        <v>566.0</v>
      </c>
      <c r="CJ36" s="184">
        <v>43306.0</v>
      </c>
      <c r="CK36" s="184">
        <v>43313.0</v>
      </c>
      <c r="CL36" s="180">
        <f t="shared" ref="CL36:CL37" si="22">CK36-CJ36</f>
        <v>7</v>
      </c>
      <c r="CM36" s="188">
        <v>0.005</v>
      </c>
      <c r="CN36" s="182">
        <f t="shared" ref="CN36:CN37" si="23">CI36*CL36*CM36</f>
        <v>19.81</v>
      </c>
      <c r="CO36" s="183">
        <f t="shared" ref="CO36:CO37" si="24">CH36+CN36</f>
        <v>70.1230137</v>
      </c>
      <c r="CP36" s="177"/>
      <c r="CQ36" s="178"/>
      <c r="CR36" s="178"/>
      <c r="CS36" s="152"/>
      <c r="CT36" s="179"/>
      <c r="CU36" s="113"/>
      <c r="CV36" s="177"/>
      <c r="CW36" s="178"/>
      <c r="CX36" s="178"/>
      <c r="CY36" s="180"/>
      <c r="CZ36" s="181"/>
      <c r="DA36" s="182"/>
      <c r="DB36" s="183"/>
      <c r="DC36" s="177"/>
      <c r="DD36" s="178"/>
      <c r="DE36" s="178"/>
      <c r="DF36" s="152"/>
      <c r="DG36" s="179"/>
      <c r="DH36" s="113"/>
      <c r="DI36" s="177"/>
      <c r="DJ36" s="178"/>
      <c r="DK36" s="178"/>
      <c r="DL36" s="180"/>
      <c r="DM36" s="181"/>
      <c r="DN36" s="182"/>
      <c r="DO36" s="183"/>
      <c r="DP36" s="177"/>
      <c r="DQ36" s="178"/>
      <c r="DR36" s="178"/>
      <c r="DS36" s="152"/>
      <c r="DT36" s="179"/>
      <c r="DU36" s="113"/>
      <c r="DV36" s="177"/>
      <c r="DW36" s="178"/>
      <c r="DX36" s="178"/>
      <c r="DY36" s="180"/>
      <c r="DZ36" s="181"/>
      <c r="EA36" s="182"/>
      <c r="EB36" s="183"/>
      <c r="EC36" s="177"/>
      <c r="ED36" s="178"/>
      <c r="EE36" s="178"/>
      <c r="EF36" s="152"/>
      <c r="EG36" s="179"/>
      <c r="EH36" s="113"/>
      <c r="EI36" s="177"/>
      <c r="EJ36" s="178"/>
      <c r="EK36" s="178"/>
      <c r="EL36" s="180"/>
      <c r="EM36" s="181"/>
      <c r="EN36" s="182"/>
      <c r="EO36" s="183"/>
      <c r="EP36" s="1"/>
      <c r="EQ36" s="1"/>
      <c r="ER36" s="1"/>
      <c r="ES36" s="1"/>
      <c r="ET36" s="1"/>
      <c r="EU36" s="41">
        <f t="shared" si="6"/>
        <v>1023.84726</v>
      </c>
      <c r="EV36" s="186"/>
      <c r="EW36" s="54"/>
      <c r="EX36" s="51">
        <v>1024.0</v>
      </c>
      <c r="EY36" s="55"/>
      <c r="EZ36" s="61">
        <f t="shared" si="1"/>
        <v>1024</v>
      </c>
      <c r="FA36" s="1"/>
    </row>
    <row r="37" ht="13.5" customHeight="1">
      <c r="A37" s="48" t="s">
        <v>145</v>
      </c>
      <c r="B37" s="49" t="s">
        <v>146</v>
      </c>
      <c r="C37" s="177"/>
      <c r="D37" s="178"/>
      <c r="E37" s="178"/>
      <c r="F37" s="152"/>
      <c r="G37" s="179"/>
      <c r="H37" s="113"/>
      <c r="I37" s="177"/>
      <c r="J37" s="178"/>
      <c r="K37" s="178"/>
      <c r="L37" s="180"/>
      <c r="M37" s="181"/>
      <c r="N37" s="182"/>
      <c r="O37" s="183"/>
      <c r="P37" s="177"/>
      <c r="Q37" s="178"/>
      <c r="R37" s="178"/>
      <c r="S37" s="152"/>
      <c r="T37" s="179"/>
      <c r="U37" s="113"/>
      <c r="V37" s="177"/>
      <c r="W37" s="178"/>
      <c r="X37" s="178"/>
      <c r="Y37" s="180"/>
      <c r="Z37" s="181"/>
      <c r="AA37" s="182"/>
      <c r="AB37" s="183"/>
      <c r="AC37" s="177"/>
      <c r="AD37" s="178"/>
      <c r="AE37" s="178"/>
      <c r="AF37" s="152"/>
      <c r="AG37" s="179"/>
      <c r="AH37" s="113"/>
      <c r="AI37" s="177"/>
      <c r="AJ37" s="178"/>
      <c r="AK37" s="178"/>
      <c r="AL37" s="180"/>
      <c r="AM37" s="181"/>
      <c r="AN37" s="182"/>
      <c r="AO37" s="183"/>
      <c r="AP37" s="177"/>
      <c r="AQ37" s="178"/>
      <c r="AR37" s="178"/>
      <c r="AS37" s="152"/>
      <c r="AT37" s="179"/>
      <c r="AU37" s="113"/>
      <c r="AV37" s="177"/>
      <c r="AW37" s="178"/>
      <c r="AX37" s="178"/>
      <c r="AY37" s="180"/>
      <c r="AZ37" s="181"/>
      <c r="BA37" s="182"/>
      <c r="BB37" s="183"/>
      <c r="BC37" s="177"/>
      <c r="BD37" s="178"/>
      <c r="BE37" s="178"/>
      <c r="BF37" s="152"/>
      <c r="BG37" s="179"/>
      <c r="BH37" s="113"/>
      <c r="BI37" s="177"/>
      <c r="BJ37" s="178"/>
      <c r="BK37" s="178"/>
      <c r="BL37" s="180"/>
      <c r="BM37" s="181"/>
      <c r="BN37" s="182"/>
      <c r="BO37" s="183"/>
      <c r="BP37" s="177"/>
      <c r="BQ37" s="178"/>
      <c r="BR37" s="178"/>
      <c r="BS37" s="152"/>
      <c r="BT37" s="179"/>
      <c r="BU37" s="113"/>
      <c r="BV37" s="177"/>
      <c r="BW37" s="178"/>
      <c r="BX37" s="178"/>
      <c r="BY37" s="180"/>
      <c r="BZ37" s="181"/>
      <c r="CA37" s="182"/>
      <c r="CB37" s="183"/>
      <c r="CC37" s="33">
        <v>7450.0</v>
      </c>
      <c r="CD37" s="184">
        <v>43296.0</v>
      </c>
      <c r="CE37" s="184">
        <v>43313.0</v>
      </c>
      <c r="CF37" s="152">
        <f t="shared" si="19"/>
        <v>17</v>
      </c>
      <c r="CG37" s="185">
        <f t="shared" si="20"/>
        <v>0.000397260274</v>
      </c>
      <c r="CH37" s="113">
        <f t="shared" si="21"/>
        <v>50.3130137</v>
      </c>
      <c r="CI37" s="33">
        <v>1075.0</v>
      </c>
      <c r="CJ37" s="184">
        <v>43306.0</v>
      </c>
      <c r="CK37" s="184">
        <v>43313.0</v>
      </c>
      <c r="CL37" s="180">
        <f t="shared" si="22"/>
        <v>7</v>
      </c>
      <c r="CM37" s="188">
        <v>0.005</v>
      </c>
      <c r="CN37" s="182">
        <f t="shared" si="23"/>
        <v>37.625</v>
      </c>
      <c r="CO37" s="183">
        <f t="shared" si="24"/>
        <v>87.9380137</v>
      </c>
      <c r="CP37" s="177"/>
      <c r="CQ37" s="178"/>
      <c r="CR37" s="178"/>
      <c r="CS37" s="152"/>
      <c r="CT37" s="179"/>
      <c r="CU37" s="113"/>
      <c r="CV37" s="177"/>
      <c r="CW37" s="178"/>
      <c r="CX37" s="178"/>
      <c r="CY37" s="180"/>
      <c r="CZ37" s="181"/>
      <c r="DA37" s="182"/>
      <c r="DB37" s="183"/>
      <c r="DC37" s="177"/>
      <c r="DD37" s="178"/>
      <c r="DE37" s="178"/>
      <c r="DF37" s="152"/>
      <c r="DG37" s="179"/>
      <c r="DH37" s="113"/>
      <c r="DI37" s="177"/>
      <c r="DJ37" s="178"/>
      <c r="DK37" s="178"/>
      <c r="DL37" s="180"/>
      <c r="DM37" s="181"/>
      <c r="DN37" s="182"/>
      <c r="DO37" s="183"/>
      <c r="DP37" s="177"/>
      <c r="DQ37" s="178"/>
      <c r="DR37" s="178"/>
      <c r="DS37" s="152"/>
      <c r="DT37" s="179"/>
      <c r="DU37" s="113"/>
      <c r="DV37" s="177"/>
      <c r="DW37" s="178"/>
      <c r="DX37" s="178"/>
      <c r="DY37" s="180"/>
      <c r="DZ37" s="181"/>
      <c r="EA37" s="182"/>
      <c r="EB37" s="183"/>
      <c r="EC37" s="177"/>
      <c r="ED37" s="178"/>
      <c r="EE37" s="178"/>
      <c r="EF37" s="152"/>
      <c r="EG37" s="179"/>
      <c r="EH37" s="113"/>
      <c r="EI37" s="177"/>
      <c r="EJ37" s="178"/>
      <c r="EK37" s="178"/>
      <c r="EL37" s="180"/>
      <c r="EM37" s="181"/>
      <c r="EN37" s="182"/>
      <c r="EO37" s="183"/>
      <c r="EP37" s="1"/>
      <c r="EQ37" s="1"/>
      <c r="ER37" s="1"/>
      <c r="ES37" s="1"/>
      <c r="ET37" s="1"/>
      <c r="EU37" s="41">
        <f t="shared" si="6"/>
        <v>87.9380137</v>
      </c>
      <c r="EV37" s="186"/>
      <c r="EW37" s="54"/>
      <c r="EX37" s="51">
        <v>88.0</v>
      </c>
      <c r="EY37" s="55"/>
      <c r="EZ37" s="61">
        <f t="shared" si="1"/>
        <v>88</v>
      </c>
      <c r="FA37" s="1"/>
    </row>
    <row r="38" ht="13.5" customHeight="1">
      <c r="A38" s="48" t="s">
        <v>147</v>
      </c>
      <c r="B38" s="49" t="s">
        <v>148</v>
      </c>
      <c r="C38" s="177"/>
      <c r="D38" s="178"/>
      <c r="E38" s="178"/>
      <c r="F38" s="152"/>
      <c r="G38" s="179"/>
      <c r="H38" s="113"/>
      <c r="I38" s="177"/>
      <c r="J38" s="178"/>
      <c r="K38" s="178"/>
      <c r="L38" s="180"/>
      <c r="M38" s="181"/>
      <c r="N38" s="182"/>
      <c r="O38" s="183"/>
      <c r="P38" s="177"/>
      <c r="Q38" s="178"/>
      <c r="R38" s="178"/>
      <c r="S38" s="152"/>
      <c r="T38" s="179"/>
      <c r="U38" s="113"/>
      <c r="V38" s="177"/>
      <c r="W38" s="178"/>
      <c r="X38" s="178"/>
      <c r="Y38" s="180"/>
      <c r="Z38" s="181"/>
      <c r="AA38" s="182"/>
      <c r="AB38" s="183"/>
      <c r="AC38" s="177"/>
      <c r="AD38" s="178"/>
      <c r="AE38" s="178"/>
      <c r="AF38" s="152"/>
      <c r="AG38" s="179"/>
      <c r="AH38" s="113"/>
      <c r="AI38" s="177"/>
      <c r="AJ38" s="178"/>
      <c r="AK38" s="178"/>
      <c r="AL38" s="180"/>
      <c r="AM38" s="181"/>
      <c r="AN38" s="182"/>
      <c r="AO38" s="187"/>
      <c r="AP38" s="177"/>
      <c r="AQ38" s="178"/>
      <c r="AR38" s="178"/>
      <c r="AS38" s="152"/>
      <c r="AT38" s="179"/>
      <c r="AU38" s="113"/>
      <c r="AV38" s="177"/>
      <c r="AW38" s="178"/>
      <c r="AX38" s="178"/>
      <c r="AY38" s="180"/>
      <c r="AZ38" s="181"/>
      <c r="BA38" s="182"/>
      <c r="BB38" s="183"/>
      <c r="BC38" s="177"/>
      <c r="BD38" s="178"/>
      <c r="BE38" s="178"/>
      <c r="BF38" s="152"/>
      <c r="BG38" s="179"/>
      <c r="BH38" s="113"/>
      <c r="BI38" s="177"/>
      <c r="BJ38" s="178"/>
      <c r="BK38" s="178"/>
      <c r="BL38" s="180"/>
      <c r="BM38" s="181"/>
      <c r="BN38" s="182"/>
      <c r="BO38" s="187"/>
      <c r="BP38" s="177"/>
      <c r="BQ38" s="178"/>
      <c r="BR38" s="178"/>
      <c r="BS38" s="152"/>
      <c r="BT38" s="179"/>
      <c r="BU38" s="113"/>
      <c r="BV38" s="177"/>
      <c r="BW38" s="178"/>
      <c r="BX38" s="178"/>
      <c r="BY38" s="180"/>
      <c r="BZ38" s="181"/>
      <c r="CA38" s="182"/>
      <c r="CB38" s="187"/>
      <c r="CC38" s="177"/>
      <c r="CD38" s="178"/>
      <c r="CE38" s="178"/>
      <c r="CF38" s="152"/>
      <c r="CG38" s="179"/>
      <c r="CH38" s="113"/>
      <c r="CI38" s="177"/>
      <c r="CJ38" s="178"/>
      <c r="CK38" s="178"/>
      <c r="CL38" s="180"/>
      <c r="CM38" s="181"/>
      <c r="CN38" s="182"/>
      <c r="CO38" s="183"/>
      <c r="CP38" s="177"/>
      <c r="CQ38" s="178"/>
      <c r="CR38" s="178"/>
      <c r="CS38" s="152"/>
      <c r="CT38" s="179"/>
      <c r="CU38" s="113"/>
      <c r="CV38" s="177"/>
      <c r="CW38" s="178"/>
      <c r="CX38" s="178"/>
      <c r="CY38" s="180"/>
      <c r="CZ38" s="181"/>
      <c r="DA38" s="182"/>
      <c r="DB38" s="183"/>
      <c r="DC38" s="177"/>
      <c r="DD38" s="178"/>
      <c r="DE38" s="178"/>
      <c r="DF38" s="152"/>
      <c r="DG38" s="179"/>
      <c r="DH38" s="113"/>
      <c r="DI38" s="177"/>
      <c r="DJ38" s="178"/>
      <c r="DK38" s="178"/>
      <c r="DL38" s="180"/>
      <c r="DM38" s="181"/>
      <c r="DN38" s="182"/>
      <c r="DO38" s="183"/>
      <c r="DP38" s="177"/>
      <c r="DQ38" s="178"/>
      <c r="DR38" s="178"/>
      <c r="DS38" s="152"/>
      <c r="DT38" s="179"/>
      <c r="DU38" s="113"/>
      <c r="DV38" s="177"/>
      <c r="DW38" s="178"/>
      <c r="DX38" s="178"/>
      <c r="DY38" s="180"/>
      <c r="DZ38" s="181"/>
      <c r="EA38" s="182"/>
      <c r="EB38" s="183"/>
      <c r="EC38" s="177"/>
      <c r="ED38" s="178"/>
      <c r="EE38" s="178"/>
      <c r="EF38" s="152"/>
      <c r="EG38" s="179"/>
      <c r="EH38" s="113"/>
      <c r="EI38" s="177"/>
      <c r="EJ38" s="178"/>
      <c r="EK38" s="178"/>
      <c r="EL38" s="180"/>
      <c r="EM38" s="181"/>
      <c r="EN38" s="182"/>
      <c r="EO38" s="183"/>
      <c r="EP38" s="1"/>
      <c r="EQ38" s="1"/>
      <c r="ER38" s="1"/>
      <c r="ES38" s="1"/>
      <c r="ET38" s="1"/>
      <c r="EU38" s="41">
        <f t="shared" si="6"/>
        <v>0</v>
      </c>
      <c r="EV38" s="186"/>
      <c r="EW38" s="54"/>
      <c r="EX38" s="54"/>
      <c r="EY38" s="55"/>
      <c r="EZ38" s="61">
        <f t="shared" si="1"/>
        <v>0</v>
      </c>
      <c r="FA38" s="1"/>
    </row>
    <row r="39" ht="13.5" customHeight="1">
      <c r="A39" s="48" t="s">
        <v>149</v>
      </c>
      <c r="B39" s="49" t="s">
        <v>150</v>
      </c>
      <c r="C39" s="177"/>
      <c r="D39" s="178"/>
      <c r="E39" s="178"/>
      <c r="F39" s="152"/>
      <c r="G39" s="179"/>
      <c r="H39" s="113"/>
      <c r="I39" s="177"/>
      <c r="J39" s="178"/>
      <c r="K39" s="178"/>
      <c r="L39" s="180"/>
      <c r="M39" s="181"/>
      <c r="N39" s="182"/>
      <c r="O39" s="187"/>
      <c r="P39" s="177"/>
      <c r="Q39" s="178"/>
      <c r="R39" s="178"/>
      <c r="S39" s="152"/>
      <c r="T39" s="179"/>
      <c r="U39" s="113"/>
      <c r="V39" s="177"/>
      <c r="W39" s="178"/>
      <c r="X39" s="178"/>
      <c r="Y39" s="180"/>
      <c r="Z39" s="181"/>
      <c r="AA39" s="182"/>
      <c r="AB39" s="187"/>
      <c r="AC39" s="177"/>
      <c r="AD39" s="178"/>
      <c r="AE39" s="178"/>
      <c r="AF39" s="152"/>
      <c r="AG39" s="179"/>
      <c r="AH39" s="113"/>
      <c r="AI39" s="177"/>
      <c r="AJ39" s="178"/>
      <c r="AK39" s="178"/>
      <c r="AL39" s="180"/>
      <c r="AM39" s="181"/>
      <c r="AN39" s="182"/>
      <c r="AO39" s="183"/>
      <c r="AP39" s="177"/>
      <c r="AQ39" s="178"/>
      <c r="AR39" s="178"/>
      <c r="AS39" s="152"/>
      <c r="AT39" s="179"/>
      <c r="AU39" s="113"/>
      <c r="AV39" s="177"/>
      <c r="AW39" s="178"/>
      <c r="AX39" s="178"/>
      <c r="AY39" s="180"/>
      <c r="AZ39" s="181"/>
      <c r="BA39" s="182"/>
      <c r="BB39" s="183"/>
      <c r="BC39" s="177"/>
      <c r="BD39" s="178"/>
      <c r="BE39" s="178"/>
      <c r="BF39" s="152"/>
      <c r="BG39" s="179"/>
      <c r="BH39" s="113"/>
      <c r="BI39" s="177"/>
      <c r="BJ39" s="178"/>
      <c r="BK39" s="178"/>
      <c r="BL39" s="180"/>
      <c r="BM39" s="181"/>
      <c r="BN39" s="182"/>
      <c r="BO39" s="183"/>
      <c r="BP39" s="177"/>
      <c r="BQ39" s="178"/>
      <c r="BR39" s="178"/>
      <c r="BS39" s="152"/>
      <c r="BT39" s="179"/>
      <c r="BU39" s="113"/>
      <c r="BV39" s="177"/>
      <c r="BW39" s="178"/>
      <c r="BX39" s="178"/>
      <c r="BY39" s="180"/>
      <c r="BZ39" s="181"/>
      <c r="CA39" s="182"/>
      <c r="CB39" s="183"/>
      <c r="CC39" s="177"/>
      <c r="CD39" s="178"/>
      <c r="CE39" s="178"/>
      <c r="CF39" s="152"/>
      <c r="CG39" s="179"/>
      <c r="CH39" s="113"/>
      <c r="CI39" s="177"/>
      <c r="CJ39" s="178"/>
      <c r="CK39" s="178"/>
      <c r="CL39" s="180"/>
      <c r="CM39" s="181"/>
      <c r="CN39" s="182"/>
      <c r="CO39" s="183"/>
      <c r="CP39" s="177"/>
      <c r="CQ39" s="178"/>
      <c r="CR39" s="178"/>
      <c r="CS39" s="152"/>
      <c r="CT39" s="179"/>
      <c r="CU39" s="113"/>
      <c r="CV39" s="177"/>
      <c r="CW39" s="178"/>
      <c r="CX39" s="178"/>
      <c r="CY39" s="180"/>
      <c r="CZ39" s="181"/>
      <c r="DA39" s="182"/>
      <c r="DB39" s="183"/>
      <c r="DC39" s="177"/>
      <c r="DD39" s="178"/>
      <c r="DE39" s="178"/>
      <c r="DF39" s="152"/>
      <c r="DG39" s="179"/>
      <c r="DH39" s="113"/>
      <c r="DI39" s="177"/>
      <c r="DJ39" s="178"/>
      <c r="DK39" s="178"/>
      <c r="DL39" s="180"/>
      <c r="DM39" s="181"/>
      <c r="DN39" s="182"/>
      <c r="DO39" s="183"/>
      <c r="DP39" s="177"/>
      <c r="DQ39" s="178"/>
      <c r="DR39" s="178"/>
      <c r="DS39" s="152"/>
      <c r="DT39" s="179"/>
      <c r="DU39" s="113"/>
      <c r="DV39" s="177"/>
      <c r="DW39" s="178"/>
      <c r="DX39" s="178"/>
      <c r="DY39" s="180"/>
      <c r="DZ39" s="181"/>
      <c r="EA39" s="182"/>
      <c r="EB39" s="183"/>
      <c r="EC39" s="177"/>
      <c r="ED39" s="178"/>
      <c r="EE39" s="178"/>
      <c r="EF39" s="152"/>
      <c r="EG39" s="179"/>
      <c r="EH39" s="113"/>
      <c r="EI39" s="177"/>
      <c r="EJ39" s="178"/>
      <c r="EK39" s="178"/>
      <c r="EL39" s="180"/>
      <c r="EM39" s="181"/>
      <c r="EN39" s="182"/>
      <c r="EO39" s="183"/>
      <c r="EP39" s="1"/>
      <c r="EQ39" s="1"/>
      <c r="ER39" s="1"/>
      <c r="ES39" s="1"/>
      <c r="ET39" s="1"/>
      <c r="EU39" s="41">
        <f t="shared" si="6"/>
        <v>0</v>
      </c>
      <c r="EV39" s="186"/>
      <c r="EW39" s="54"/>
      <c r="EX39" s="54"/>
      <c r="EY39" s="55"/>
      <c r="EZ39" s="61">
        <f t="shared" si="1"/>
        <v>0</v>
      </c>
      <c r="FA39" s="1"/>
    </row>
    <row r="40" ht="13.5" customHeight="1">
      <c r="A40" s="48" t="s">
        <v>151</v>
      </c>
      <c r="B40" s="49" t="s">
        <v>152</v>
      </c>
      <c r="C40" s="177"/>
      <c r="D40" s="178"/>
      <c r="E40" s="178"/>
      <c r="F40" s="152"/>
      <c r="G40" s="179"/>
      <c r="H40" s="113"/>
      <c r="I40" s="177"/>
      <c r="J40" s="178"/>
      <c r="K40" s="178"/>
      <c r="L40" s="180"/>
      <c r="M40" s="181"/>
      <c r="N40" s="182"/>
      <c r="O40" s="183"/>
      <c r="P40" s="177"/>
      <c r="Q40" s="178"/>
      <c r="R40" s="178"/>
      <c r="S40" s="152"/>
      <c r="T40" s="179"/>
      <c r="U40" s="113"/>
      <c r="V40" s="177"/>
      <c r="W40" s="178"/>
      <c r="X40" s="178"/>
      <c r="Y40" s="180"/>
      <c r="Z40" s="181"/>
      <c r="AA40" s="182"/>
      <c r="AB40" s="183"/>
      <c r="AC40" s="177"/>
      <c r="AD40" s="178"/>
      <c r="AE40" s="178"/>
      <c r="AF40" s="152"/>
      <c r="AG40" s="179"/>
      <c r="AH40" s="113"/>
      <c r="AI40" s="177"/>
      <c r="AJ40" s="178"/>
      <c r="AK40" s="178"/>
      <c r="AL40" s="180"/>
      <c r="AM40" s="181"/>
      <c r="AN40" s="182"/>
      <c r="AO40" s="183"/>
      <c r="AP40" s="177"/>
      <c r="AQ40" s="178"/>
      <c r="AR40" s="178"/>
      <c r="AS40" s="152"/>
      <c r="AT40" s="179"/>
      <c r="AU40" s="113"/>
      <c r="AV40" s="177"/>
      <c r="AW40" s="178"/>
      <c r="AX40" s="178"/>
      <c r="AY40" s="180"/>
      <c r="AZ40" s="181"/>
      <c r="BA40" s="182"/>
      <c r="BB40" s="183"/>
      <c r="BC40" s="177"/>
      <c r="BD40" s="178"/>
      <c r="BE40" s="178"/>
      <c r="BF40" s="152"/>
      <c r="BG40" s="179"/>
      <c r="BH40" s="113"/>
      <c r="BI40" s="177"/>
      <c r="BJ40" s="178"/>
      <c r="BK40" s="178"/>
      <c r="BL40" s="180"/>
      <c r="BM40" s="181"/>
      <c r="BN40" s="182"/>
      <c r="BO40" s="183"/>
      <c r="BP40" s="177"/>
      <c r="BQ40" s="178"/>
      <c r="BR40" s="178"/>
      <c r="BS40" s="152"/>
      <c r="BT40" s="179"/>
      <c r="BU40" s="113"/>
      <c r="BV40" s="177"/>
      <c r="BW40" s="178"/>
      <c r="BX40" s="178"/>
      <c r="BY40" s="180"/>
      <c r="BZ40" s="181"/>
      <c r="CA40" s="182"/>
      <c r="CB40" s="183"/>
      <c r="CC40" s="177"/>
      <c r="CD40" s="178"/>
      <c r="CE40" s="178"/>
      <c r="CF40" s="152"/>
      <c r="CG40" s="179"/>
      <c r="CH40" s="113"/>
      <c r="CI40" s="177"/>
      <c r="CJ40" s="178"/>
      <c r="CK40" s="178"/>
      <c r="CL40" s="180"/>
      <c r="CM40" s="181"/>
      <c r="CN40" s="182"/>
      <c r="CO40" s="183"/>
      <c r="CP40" s="177"/>
      <c r="CQ40" s="178"/>
      <c r="CR40" s="178"/>
      <c r="CS40" s="152"/>
      <c r="CT40" s="179"/>
      <c r="CU40" s="113"/>
      <c r="CV40" s="177"/>
      <c r="CW40" s="178"/>
      <c r="CX40" s="178"/>
      <c r="CY40" s="180"/>
      <c r="CZ40" s="181"/>
      <c r="DA40" s="182"/>
      <c r="DB40" s="183"/>
      <c r="DC40" s="177"/>
      <c r="DD40" s="178"/>
      <c r="DE40" s="178"/>
      <c r="DF40" s="152"/>
      <c r="DG40" s="179"/>
      <c r="DH40" s="113"/>
      <c r="DI40" s="177"/>
      <c r="DJ40" s="178"/>
      <c r="DK40" s="178"/>
      <c r="DL40" s="180"/>
      <c r="DM40" s="181"/>
      <c r="DN40" s="182"/>
      <c r="DO40" s="183"/>
      <c r="DP40" s="177"/>
      <c r="DQ40" s="178"/>
      <c r="DR40" s="178"/>
      <c r="DS40" s="152"/>
      <c r="DT40" s="179"/>
      <c r="DU40" s="113"/>
      <c r="DV40" s="177"/>
      <c r="DW40" s="178"/>
      <c r="DX40" s="178"/>
      <c r="DY40" s="180"/>
      <c r="DZ40" s="181"/>
      <c r="EA40" s="182"/>
      <c r="EB40" s="183"/>
      <c r="EC40" s="177"/>
      <c r="ED40" s="178"/>
      <c r="EE40" s="178"/>
      <c r="EF40" s="152"/>
      <c r="EG40" s="179"/>
      <c r="EH40" s="113"/>
      <c r="EI40" s="177"/>
      <c r="EJ40" s="178"/>
      <c r="EK40" s="178"/>
      <c r="EL40" s="180"/>
      <c r="EM40" s="181"/>
      <c r="EN40" s="182"/>
      <c r="EO40" s="183"/>
      <c r="EP40" s="1"/>
      <c r="EQ40" s="1"/>
      <c r="ER40" s="1"/>
      <c r="ES40" s="1"/>
      <c r="ET40" s="1"/>
      <c r="EU40" s="41">
        <f t="shared" si="6"/>
        <v>0</v>
      </c>
      <c r="EV40" s="186"/>
      <c r="EW40" s="54"/>
      <c r="EX40" s="54"/>
      <c r="EY40" s="55"/>
      <c r="EZ40" s="61">
        <f t="shared" si="1"/>
        <v>0</v>
      </c>
      <c r="FA40" s="1"/>
    </row>
    <row r="41" ht="13.5" customHeight="1">
      <c r="A41" s="48" t="s">
        <v>153</v>
      </c>
      <c r="B41" s="112" t="s">
        <v>154</v>
      </c>
      <c r="C41" s="177"/>
      <c r="D41" s="178"/>
      <c r="E41" s="178"/>
      <c r="F41" s="152"/>
      <c r="G41" s="179"/>
      <c r="H41" s="113"/>
      <c r="I41" s="177"/>
      <c r="J41" s="178"/>
      <c r="K41" s="178"/>
      <c r="L41" s="180"/>
      <c r="M41" s="181"/>
      <c r="N41" s="182"/>
      <c r="O41" s="183"/>
      <c r="P41" s="177"/>
      <c r="Q41" s="178"/>
      <c r="R41" s="178"/>
      <c r="S41" s="152"/>
      <c r="T41" s="179"/>
      <c r="U41" s="113"/>
      <c r="V41" s="177"/>
      <c r="W41" s="178"/>
      <c r="X41" s="178"/>
      <c r="Y41" s="180"/>
      <c r="Z41" s="181"/>
      <c r="AA41" s="182"/>
      <c r="AB41" s="183"/>
      <c r="AC41" s="177"/>
      <c r="AD41" s="178"/>
      <c r="AE41" s="178"/>
      <c r="AF41" s="152"/>
      <c r="AG41" s="179"/>
      <c r="AH41" s="113"/>
      <c r="AI41" s="177"/>
      <c r="AJ41" s="178"/>
      <c r="AK41" s="178"/>
      <c r="AL41" s="180"/>
      <c r="AM41" s="181"/>
      <c r="AN41" s="182"/>
      <c r="AO41" s="183"/>
      <c r="AP41" s="177"/>
      <c r="AQ41" s="178"/>
      <c r="AR41" s="178"/>
      <c r="AS41" s="152"/>
      <c r="AT41" s="179"/>
      <c r="AU41" s="113"/>
      <c r="AV41" s="177"/>
      <c r="AW41" s="178"/>
      <c r="AX41" s="178"/>
      <c r="AY41" s="180"/>
      <c r="AZ41" s="181"/>
      <c r="BA41" s="182"/>
      <c r="BB41" s="183"/>
      <c r="BC41" s="177"/>
      <c r="BD41" s="178"/>
      <c r="BE41" s="178"/>
      <c r="BF41" s="152"/>
      <c r="BG41" s="179"/>
      <c r="BH41" s="113"/>
      <c r="BI41" s="177"/>
      <c r="BJ41" s="178"/>
      <c r="BK41" s="178"/>
      <c r="BL41" s="180"/>
      <c r="BM41" s="181"/>
      <c r="BN41" s="182"/>
      <c r="BO41" s="183"/>
      <c r="BP41" s="177"/>
      <c r="BQ41" s="178"/>
      <c r="BR41" s="178"/>
      <c r="BS41" s="152"/>
      <c r="BT41" s="179"/>
      <c r="BU41" s="113"/>
      <c r="BV41" s="177"/>
      <c r="BW41" s="178"/>
      <c r="BX41" s="178"/>
      <c r="BY41" s="180"/>
      <c r="BZ41" s="181"/>
      <c r="CA41" s="182"/>
      <c r="CB41" s="183"/>
      <c r="CC41" s="177"/>
      <c r="CD41" s="178"/>
      <c r="CE41" s="178"/>
      <c r="CF41" s="152"/>
      <c r="CG41" s="179"/>
      <c r="CH41" s="113"/>
      <c r="CI41" s="177"/>
      <c r="CJ41" s="178"/>
      <c r="CK41" s="178"/>
      <c r="CL41" s="180"/>
      <c r="CM41" s="181"/>
      <c r="CN41" s="182"/>
      <c r="CO41" s="183"/>
      <c r="CP41" s="177"/>
      <c r="CQ41" s="178"/>
      <c r="CR41" s="178"/>
      <c r="CS41" s="152"/>
      <c r="CT41" s="179"/>
      <c r="CU41" s="113"/>
      <c r="CV41" s="177"/>
      <c r="CW41" s="178"/>
      <c r="CX41" s="178"/>
      <c r="CY41" s="180"/>
      <c r="CZ41" s="181"/>
      <c r="DA41" s="182"/>
      <c r="DB41" s="183"/>
      <c r="DC41" s="177"/>
      <c r="DD41" s="178"/>
      <c r="DE41" s="178"/>
      <c r="DF41" s="152"/>
      <c r="DG41" s="179"/>
      <c r="DH41" s="113"/>
      <c r="DI41" s="177"/>
      <c r="DJ41" s="178"/>
      <c r="DK41" s="178"/>
      <c r="DL41" s="180"/>
      <c r="DM41" s="181"/>
      <c r="DN41" s="182"/>
      <c r="DO41" s="183"/>
      <c r="DP41" s="177"/>
      <c r="DQ41" s="178"/>
      <c r="DR41" s="178"/>
      <c r="DS41" s="152"/>
      <c r="DT41" s="179"/>
      <c r="DU41" s="113"/>
      <c r="DV41" s="177"/>
      <c r="DW41" s="178"/>
      <c r="DX41" s="178"/>
      <c r="DY41" s="180"/>
      <c r="DZ41" s="181"/>
      <c r="EA41" s="182"/>
      <c r="EB41" s="183"/>
      <c r="EC41" s="177"/>
      <c r="ED41" s="178"/>
      <c r="EE41" s="178"/>
      <c r="EF41" s="152"/>
      <c r="EG41" s="179"/>
      <c r="EH41" s="113"/>
      <c r="EI41" s="177"/>
      <c r="EJ41" s="178"/>
      <c r="EK41" s="178"/>
      <c r="EL41" s="180"/>
      <c r="EM41" s="181"/>
      <c r="EN41" s="182"/>
      <c r="EO41" s="183"/>
      <c r="EP41" s="1"/>
      <c r="EQ41" s="1"/>
      <c r="ER41" s="1"/>
      <c r="ES41" s="1"/>
      <c r="ET41" s="1"/>
      <c r="EU41" s="41">
        <f t="shared" si="6"/>
        <v>0</v>
      </c>
      <c r="EV41" s="186"/>
      <c r="EW41" s="54"/>
      <c r="EX41" s="54"/>
      <c r="EY41" s="55"/>
      <c r="EZ41" s="61">
        <f t="shared" si="1"/>
        <v>0</v>
      </c>
      <c r="FA41" s="1"/>
    </row>
    <row r="42" ht="13.5" customHeight="1">
      <c r="A42" s="48" t="s">
        <v>155</v>
      </c>
      <c r="B42" s="49" t="s">
        <v>156</v>
      </c>
      <c r="C42" s="177"/>
      <c r="D42" s="178"/>
      <c r="E42" s="178"/>
      <c r="F42" s="152"/>
      <c r="G42" s="179"/>
      <c r="H42" s="113"/>
      <c r="I42" s="177"/>
      <c r="J42" s="178"/>
      <c r="K42" s="178"/>
      <c r="L42" s="180"/>
      <c r="M42" s="181"/>
      <c r="N42" s="182"/>
      <c r="O42" s="183"/>
      <c r="P42" s="177"/>
      <c r="Q42" s="178"/>
      <c r="R42" s="178"/>
      <c r="S42" s="152"/>
      <c r="T42" s="179"/>
      <c r="U42" s="113"/>
      <c r="V42" s="177"/>
      <c r="W42" s="178"/>
      <c r="X42" s="178"/>
      <c r="Y42" s="180"/>
      <c r="Z42" s="181"/>
      <c r="AA42" s="182"/>
      <c r="AB42" s="183"/>
      <c r="AC42" s="177"/>
      <c r="AD42" s="178"/>
      <c r="AE42" s="178"/>
      <c r="AF42" s="152"/>
      <c r="AG42" s="179"/>
      <c r="AH42" s="113"/>
      <c r="AI42" s="177"/>
      <c r="AJ42" s="178"/>
      <c r="AK42" s="178"/>
      <c r="AL42" s="180"/>
      <c r="AM42" s="181"/>
      <c r="AN42" s="182"/>
      <c r="AO42" s="183"/>
      <c r="AP42" s="177"/>
      <c r="AQ42" s="178"/>
      <c r="AR42" s="178"/>
      <c r="AS42" s="152"/>
      <c r="AT42" s="179"/>
      <c r="AU42" s="113"/>
      <c r="AV42" s="177"/>
      <c r="AW42" s="178"/>
      <c r="AX42" s="178"/>
      <c r="AY42" s="180"/>
      <c r="AZ42" s="181"/>
      <c r="BA42" s="182"/>
      <c r="BB42" s="183"/>
      <c r="BC42" s="177"/>
      <c r="BD42" s="178"/>
      <c r="BE42" s="178"/>
      <c r="BF42" s="152"/>
      <c r="BG42" s="179"/>
      <c r="BH42" s="113"/>
      <c r="BI42" s="177"/>
      <c r="BJ42" s="178"/>
      <c r="BK42" s="178"/>
      <c r="BL42" s="180"/>
      <c r="BM42" s="181"/>
      <c r="BN42" s="182"/>
      <c r="BO42" s="183"/>
      <c r="BP42" s="177"/>
      <c r="BQ42" s="178"/>
      <c r="BR42" s="178"/>
      <c r="BS42" s="152"/>
      <c r="BT42" s="179"/>
      <c r="BU42" s="113"/>
      <c r="BV42" s="177"/>
      <c r="BW42" s="178"/>
      <c r="BX42" s="178"/>
      <c r="BY42" s="180"/>
      <c r="BZ42" s="181"/>
      <c r="CA42" s="182"/>
      <c r="CB42" s="183"/>
      <c r="CC42" s="177"/>
      <c r="CD42" s="178"/>
      <c r="CE42" s="178"/>
      <c r="CF42" s="152"/>
      <c r="CG42" s="179"/>
      <c r="CH42" s="113"/>
      <c r="CI42" s="177"/>
      <c r="CJ42" s="178"/>
      <c r="CK42" s="178"/>
      <c r="CL42" s="180"/>
      <c r="CM42" s="181"/>
      <c r="CN42" s="182"/>
      <c r="CO42" s="183"/>
      <c r="CP42" s="177"/>
      <c r="CQ42" s="178"/>
      <c r="CR42" s="178"/>
      <c r="CS42" s="152"/>
      <c r="CT42" s="179"/>
      <c r="CU42" s="113"/>
      <c r="CV42" s="177"/>
      <c r="CW42" s="178"/>
      <c r="CX42" s="178"/>
      <c r="CY42" s="180"/>
      <c r="CZ42" s="181"/>
      <c r="DA42" s="182"/>
      <c r="DB42" s="183"/>
      <c r="DC42" s="177"/>
      <c r="DD42" s="178"/>
      <c r="DE42" s="178"/>
      <c r="DF42" s="152"/>
      <c r="DG42" s="179"/>
      <c r="DH42" s="113"/>
      <c r="DI42" s="177"/>
      <c r="DJ42" s="178"/>
      <c r="DK42" s="178"/>
      <c r="DL42" s="180"/>
      <c r="DM42" s="181"/>
      <c r="DN42" s="182"/>
      <c r="DO42" s="183"/>
      <c r="DP42" s="177"/>
      <c r="DQ42" s="178"/>
      <c r="DR42" s="178"/>
      <c r="DS42" s="152"/>
      <c r="DT42" s="179"/>
      <c r="DU42" s="113"/>
      <c r="DV42" s="177"/>
      <c r="DW42" s="178"/>
      <c r="DX42" s="178"/>
      <c r="DY42" s="180"/>
      <c r="DZ42" s="181"/>
      <c r="EA42" s="182"/>
      <c r="EB42" s="183"/>
      <c r="EC42" s="177"/>
      <c r="ED42" s="178"/>
      <c r="EE42" s="178"/>
      <c r="EF42" s="152"/>
      <c r="EG42" s="179"/>
      <c r="EH42" s="113"/>
      <c r="EI42" s="177"/>
      <c r="EJ42" s="178"/>
      <c r="EK42" s="178"/>
      <c r="EL42" s="180"/>
      <c r="EM42" s="181"/>
      <c r="EN42" s="182"/>
      <c r="EO42" s="183"/>
      <c r="EP42" s="1"/>
      <c r="EQ42" s="1"/>
      <c r="ER42" s="1"/>
      <c r="ES42" s="1"/>
      <c r="ET42" s="1"/>
      <c r="EU42" s="41">
        <f t="shared" si="6"/>
        <v>0</v>
      </c>
      <c r="EV42" s="186"/>
      <c r="EW42" s="54"/>
      <c r="EX42" s="54"/>
      <c r="EY42" s="55"/>
      <c r="EZ42" s="61">
        <f t="shared" si="1"/>
        <v>0</v>
      </c>
      <c r="FA42" s="1"/>
    </row>
    <row r="43" ht="13.5" customHeight="1">
      <c r="A43" s="48" t="s">
        <v>157</v>
      </c>
      <c r="B43" s="49" t="s">
        <v>158</v>
      </c>
      <c r="C43" s="177"/>
      <c r="D43" s="178"/>
      <c r="E43" s="178"/>
      <c r="F43" s="152"/>
      <c r="G43" s="179"/>
      <c r="H43" s="113"/>
      <c r="I43" s="177"/>
      <c r="J43" s="178"/>
      <c r="K43" s="178"/>
      <c r="L43" s="180"/>
      <c r="M43" s="181"/>
      <c r="N43" s="182"/>
      <c r="O43" s="183"/>
      <c r="P43" s="177"/>
      <c r="Q43" s="178"/>
      <c r="R43" s="178"/>
      <c r="S43" s="152"/>
      <c r="T43" s="179"/>
      <c r="U43" s="113"/>
      <c r="V43" s="177"/>
      <c r="W43" s="178"/>
      <c r="X43" s="178"/>
      <c r="Y43" s="180"/>
      <c r="Z43" s="181"/>
      <c r="AA43" s="182"/>
      <c r="AB43" s="183"/>
      <c r="AC43" s="177"/>
      <c r="AD43" s="178"/>
      <c r="AE43" s="178"/>
      <c r="AF43" s="152"/>
      <c r="AG43" s="179"/>
      <c r="AH43" s="113"/>
      <c r="AI43" s="177"/>
      <c r="AJ43" s="178"/>
      <c r="AK43" s="178"/>
      <c r="AL43" s="180"/>
      <c r="AM43" s="181"/>
      <c r="AN43" s="182"/>
      <c r="AO43" s="183"/>
      <c r="AP43" s="177"/>
      <c r="AQ43" s="178"/>
      <c r="AR43" s="178"/>
      <c r="AS43" s="152"/>
      <c r="AT43" s="179"/>
      <c r="AU43" s="113"/>
      <c r="AV43" s="177"/>
      <c r="AW43" s="178"/>
      <c r="AX43" s="178"/>
      <c r="AY43" s="180"/>
      <c r="AZ43" s="181"/>
      <c r="BA43" s="182"/>
      <c r="BB43" s="183"/>
      <c r="BC43" s="177"/>
      <c r="BD43" s="178"/>
      <c r="BE43" s="178"/>
      <c r="BF43" s="152"/>
      <c r="BG43" s="179"/>
      <c r="BH43" s="113"/>
      <c r="BI43" s="177"/>
      <c r="BJ43" s="178"/>
      <c r="BK43" s="178"/>
      <c r="BL43" s="180"/>
      <c r="BM43" s="181"/>
      <c r="BN43" s="182"/>
      <c r="BO43" s="183"/>
      <c r="BP43" s="177"/>
      <c r="BQ43" s="178"/>
      <c r="BR43" s="178"/>
      <c r="BS43" s="152"/>
      <c r="BT43" s="179"/>
      <c r="BU43" s="113"/>
      <c r="BV43" s="177"/>
      <c r="BW43" s="178"/>
      <c r="BX43" s="178"/>
      <c r="BY43" s="180"/>
      <c r="BZ43" s="181"/>
      <c r="CA43" s="182"/>
      <c r="CB43" s="183"/>
      <c r="CC43" s="177"/>
      <c r="CD43" s="178"/>
      <c r="CE43" s="178"/>
      <c r="CF43" s="152"/>
      <c r="CG43" s="179"/>
      <c r="CH43" s="113"/>
      <c r="CI43" s="177"/>
      <c r="CJ43" s="178"/>
      <c r="CK43" s="178"/>
      <c r="CL43" s="180"/>
      <c r="CM43" s="181"/>
      <c r="CN43" s="182"/>
      <c r="CO43" s="183"/>
      <c r="CP43" s="177"/>
      <c r="CQ43" s="178"/>
      <c r="CR43" s="178"/>
      <c r="CS43" s="152"/>
      <c r="CT43" s="179"/>
      <c r="CU43" s="113"/>
      <c r="CV43" s="177"/>
      <c r="CW43" s="178"/>
      <c r="CX43" s="178"/>
      <c r="CY43" s="180"/>
      <c r="CZ43" s="181"/>
      <c r="DA43" s="182"/>
      <c r="DB43" s="183"/>
      <c r="DC43" s="177"/>
      <c r="DD43" s="178"/>
      <c r="DE43" s="178"/>
      <c r="DF43" s="152"/>
      <c r="DG43" s="179"/>
      <c r="DH43" s="113"/>
      <c r="DI43" s="177"/>
      <c r="DJ43" s="178"/>
      <c r="DK43" s="178"/>
      <c r="DL43" s="180"/>
      <c r="DM43" s="181"/>
      <c r="DN43" s="182"/>
      <c r="DO43" s="183"/>
      <c r="DP43" s="177"/>
      <c r="DQ43" s="178"/>
      <c r="DR43" s="178"/>
      <c r="DS43" s="152"/>
      <c r="DT43" s="179"/>
      <c r="DU43" s="113"/>
      <c r="DV43" s="177"/>
      <c r="DW43" s="178"/>
      <c r="DX43" s="178"/>
      <c r="DY43" s="180"/>
      <c r="DZ43" s="181"/>
      <c r="EA43" s="182"/>
      <c r="EB43" s="183"/>
      <c r="EC43" s="177"/>
      <c r="ED43" s="178"/>
      <c r="EE43" s="178"/>
      <c r="EF43" s="152"/>
      <c r="EG43" s="179"/>
      <c r="EH43" s="113"/>
      <c r="EI43" s="177"/>
      <c r="EJ43" s="178"/>
      <c r="EK43" s="178"/>
      <c r="EL43" s="180"/>
      <c r="EM43" s="181"/>
      <c r="EN43" s="182"/>
      <c r="EO43" s="183"/>
      <c r="EP43" s="1"/>
      <c r="EQ43" s="1"/>
      <c r="ER43" s="1"/>
      <c r="ES43" s="1"/>
      <c r="ET43" s="1"/>
      <c r="EU43" s="41">
        <f t="shared" si="6"/>
        <v>0</v>
      </c>
      <c r="EV43" s="186"/>
      <c r="EW43" s="54"/>
      <c r="EX43" s="54"/>
      <c r="EY43" s="55"/>
      <c r="EZ43" s="61">
        <f t="shared" si="1"/>
        <v>0</v>
      </c>
      <c r="FA43" s="1"/>
    </row>
    <row r="44" ht="13.5" customHeight="1">
      <c r="A44" s="48" t="s">
        <v>159</v>
      </c>
      <c r="B44" s="49" t="s">
        <v>160</v>
      </c>
      <c r="C44" s="177"/>
      <c r="D44" s="178"/>
      <c r="E44" s="178"/>
      <c r="F44" s="152"/>
      <c r="G44" s="179"/>
      <c r="H44" s="113"/>
      <c r="I44" s="177"/>
      <c r="J44" s="178"/>
      <c r="K44" s="178"/>
      <c r="L44" s="180"/>
      <c r="M44" s="181"/>
      <c r="N44" s="182"/>
      <c r="O44" s="183"/>
      <c r="P44" s="177"/>
      <c r="Q44" s="178"/>
      <c r="R44" s="178"/>
      <c r="S44" s="152"/>
      <c r="T44" s="179"/>
      <c r="U44" s="113"/>
      <c r="V44" s="177"/>
      <c r="W44" s="178"/>
      <c r="X44" s="178"/>
      <c r="Y44" s="180"/>
      <c r="Z44" s="181"/>
      <c r="AA44" s="182"/>
      <c r="AB44" s="183"/>
      <c r="AC44" s="177"/>
      <c r="AD44" s="178"/>
      <c r="AE44" s="178"/>
      <c r="AF44" s="152"/>
      <c r="AG44" s="179"/>
      <c r="AH44" s="113"/>
      <c r="AI44" s="177"/>
      <c r="AJ44" s="178"/>
      <c r="AK44" s="178"/>
      <c r="AL44" s="180"/>
      <c r="AM44" s="181"/>
      <c r="AN44" s="182"/>
      <c r="AO44" s="183"/>
      <c r="AP44" s="177"/>
      <c r="AQ44" s="178"/>
      <c r="AR44" s="178"/>
      <c r="AS44" s="152"/>
      <c r="AT44" s="179"/>
      <c r="AU44" s="113"/>
      <c r="AV44" s="177"/>
      <c r="AW44" s="178"/>
      <c r="AX44" s="178"/>
      <c r="AY44" s="180"/>
      <c r="AZ44" s="181"/>
      <c r="BA44" s="182"/>
      <c r="BB44" s="183"/>
      <c r="BC44" s="177"/>
      <c r="BD44" s="178"/>
      <c r="BE44" s="178"/>
      <c r="BF44" s="152"/>
      <c r="BG44" s="179"/>
      <c r="BH44" s="113"/>
      <c r="BI44" s="177"/>
      <c r="BJ44" s="178"/>
      <c r="BK44" s="178"/>
      <c r="BL44" s="180"/>
      <c r="BM44" s="181"/>
      <c r="BN44" s="182"/>
      <c r="BO44" s="183"/>
      <c r="BP44" s="177"/>
      <c r="BQ44" s="178"/>
      <c r="BR44" s="178"/>
      <c r="BS44" s="152"/>
      <c r="BT44" s="179"/>
      <c r="BU44" s="113"/>
      <c r="BV44" s="177"/>
      <c r="BW44" s="178"/>
      <c r="BX44" s="178"/>
      <c r="BY44" s="180"/>
      <c r="BZ44" s="181"/>
      <c r="CA44" s="182"/>
      <c r="CB44" s="183"/>
      <c r="CC44" s="177"/>
      <c r="CD44" s="178"/>
      <c r="CE44" s="178"/>
      <c r="CF44" s="152"/>
      <c r="CG44" s="179"/>
      <c r="CH44" s="113"/>
      <c r="CI44" s="177"/>
      <c r="CJ44" s="178"/>
      <c r="CK44" s="178"/>
      <c r="CL44" s="180"/>
      <c r="CM44" s="181"/>
      <c r="CN44" s="182"/>
      <c r="CO44" s="183"/>
      <c r="CP44" s="177"/>
      <c r="CQ44" s="178"/>
      <c r="CR44" s="178"/>
      <c r="CS44" s="152"/>
      <c r="CT44" s="179"/>
      <c r="CU44" s="113"/>
      <c r="CV44" s="177"/>
      <c r="CW44" s="178"/>
      <c r="CX44" s="178"/>
      <c r="CY44" s="180"/>
      <c r="CZ44" s="181"/>
      <c r="DA44" s="182"/>
      <c r="DB44" s="183"/>
      <c r="DC44" s="177"/>
      <c r="DD44" s="178"/>
      <c r="DE44" s="178"/>
      <c r="DF44" s="152"/>
      <c r="DG44" s="179"/>
      <c r="DH44" s="113"/>
      <c r="DI44" s="177"/>
      <c r="DJ44" s="178"/>
      <c r="DK44" s="178"/>
      <c r="DL44" s="180"/>
      <c r="DM44" s="181"/>
      <c r="DN44" s="182"/>
      <c r="DO44" s="183"/>
      <c r="DP44" s="177"/>
      <c r="DQ44" s="178"/>
      <c r="DR44" s="178"/>
      <c r="DS44" s="152"/>
      <c r="DT44" s="179"/>
      <c r="DU44" s="113"/>
      <c r="DV44" s="177"/>
      <c r="DW44" s="178"/>
      <c r="DX44" s="178"/>
      <c r="DY44" s="180"/>
      <c r="DZ44" s="181"/>
      <c r="EA44" s="182"/>
      <c r="EB44" s="183"/>
      <c r="EC44" s="177"/>
      <c r="ED44" s="178"/>
      <c r="EE44" s="178"/>
      <c r="EF44" s="152"/>
      <c r="EG44" s="179"/>
      <c r="EH44" s="113"/>
      <c r="EI44" s="177"/>
      <c r="EJ44" s="178"/>
      <c r="EK44" s="178"/>
      <c r="EL44" s="180"/>
      <c r="EM44" s="181"/>
      <c r="EN44" s="182"/>
      <c r="EO44" s="183"/>
      <c r="EP44" s="1"/>
      <c r="EQ44" s="1"/>
      <c r="ER44" s="1"/>
      <c r="ES44" s="1"/>
      <c r="ET44" s="1"/>
      <c r="EU44" s="41">
        <f t="shared" si="6"/>
        <v>0</v>
      </c>
      <c r="EV44" s="186"/>
      <c r="EW44" s="54"/>
      <c r="EX44" s="54"/>
      <c r="EY44" s="55"/>
      <c r="EZ44" s="61">
        <f t="shared" si="1"/>
        <v>0</v>
      </c>
      <c r="FA44" s="1"/>
    </row>
    <row r="45" ht="13.5" customHeight="1">
      <c r="A45" s="48" t="s">
        <v>161</v>
      </c>
      <c r="B45" s="49" t="s">
        <v>162</v>
      </c>
      <c r="C45" s="177"/>
      <c r="D45" s="178"/>
      <c r="E45" s="178"/>
      <c r="F45" s="152"/>
      <c r="G45" s="179"/>
      <c r="H45" s="113"/>
      <c r="I45" s="177"/>
      <c r="J45" s="178"/>
      <c r="K45" s="178"/>
      <c r="L45" s="180"/>
      <c r="M45" s="181"/>
      <c r="N45" s="182"/>
      <c r="O45" s="187"/>
      <c r="P45" s="177"/>
      <c r="Q45" s="178"/>
      <c r="R45" s="178"/>
      <c r="S45" s="152"/>
      <c r="T45" s="179"/>
      <c r="U45" s="113"/>
      <c r="V45" s="177"/>
      <c r="W45" s="178"/>
      <c r="X45" s="178"/>
      <c r="Y45" s="180"/>
      <c r="Z45" s="181"/>
      <c r="AA45" s="182"/>
      <c r="AB45" s="187"/>
      <c r="AC45" s="177"/>
      <c r="AD45" s="178"/>
      <c r="AE45" s="178"/>
      <c r="AF45" s="152"/>
      <c r="AG45" s="179"/>
      <c r="AH45" s="113"/>
      <c r="AI45" s="177"/>
      <c r="AJ45" s="178"/>
      <c r="AK45" s="178"/>
      <c r="AL45" s="180"/>
      <c r="AM45" s="181"/>
      <c r="AN45" s="182"/>
      <c r="AO45" s="187"/>
      <c r="AP45" s="177"/>
      <c r="AQ45" s="178"/>
      <c r="AR45" s="178"/>
      <c r="AS45" s="152"/>
      <c r="AT45" s="179"/>
      <c r="AU45" s="113"/>
      <c r="AV45" s="177"/>
      <c r="AW45" s="178"/>
      <c r="AX45" s="178"/>
      <c r="AY45" s="180"/>
      <c r="AZ45" s="181"/>
      <c r="BA45" s="182"/>
      <c r="BB45" s="183"/>
      <c r="BC45" s="33">
        <v>7450.0</v>
      </c>
      <c r="BD45" s="184">
        <v>43235.0</v>
      </c>
      <c r="BE45" s="184">
        <v>43313.0</v>
      </c>
      <c r="BF45" s="152">
        <f>BE45-BD45</f>
        <v>78</v>
      </c>
      <c r="BG45" s="185">
        <f>0.0725*2/365</f>
        <v>0.000397260274</v>
      </c>
      <c r="BH45" s="113">
        <f>BC45*BF45*BG45</f>
        <v>230.8479452</v>
      </c>
      <c r="BI45" s="177"/>
      <c r="BJ45" s="178"/>
      <c r="BK45" s="178"/>
      <c r="BL45" s="180"/>
      <c r="BM45" s="181"/>
      <c r="BN45" s="182"/>
      <c r="BO45" s="183">
        <f>BH45+BN45</f>
        <v>230.8479452</v>
      </c>
      <c r="BP45" s="33">
        <v>7450.0</v>
      </c>
      <c r="BQ45" s="184">
        <v>43266.0</v>
      </c>
      <c r="BR45" s="184">
        <v>43313.0</v>
      </c>
      <c r="BS45" s="152">
        <f>BR45-BQ45</f>
        <v>47</v>
      </c>
      <c r="BT45" s="185">
        <f>0.0725*2/365</f>
        <v>0.000397260274</v>
      </c>
      <c r="BU45" s="113">
        <f>BP45*BS45*BT45</f>
        <v>139.1006849</v>
      </c>
      <c r="BV45" s="177"/>
      <c r="BW45" s="178"/>
      <c r="BX45" s="178"/>
      <c r="BY45" s="180"/>
      <c r="BZ45" s="181"/>
      <c r="CA45" s="182"/>
      <c r="CB45" s="183">
        <f>CA45+BU45</f>
        <v>139.1006849</v>
      </c>
      <c r="CC45" s="33">
        <v>7450.0</v>
      </c>
      <c r="CD45" s="184">
        <v>43296.0</v>
      </c>
      <c r="CE45" s="184">
        <v>43313.0</v>
      </c>
      <c r="CF45" s="152">
        <f>CE45-CD45</f>
        <v>17</v>
      </c>
      <c r="CG45" s="185">
        <f>0.0725*2/365</f>
        <v>0.000397260274</v>
      </c>
      <c r="CH45" s="113">
        <f>CC45*CF45*CG45</f>
        <v>50.3130137</v>
      </c>
      <c r="CI45" s="177"/>
      <c r="CJ45" s="178"/>
      <c r="CK45" s="178"/>
      <c r="CL45" s="180"/>
      <c r="CM45" s="181"/>
      <c r="CN45" s="182"/>
      <c r="CO45" s="183">
        <f>CH45+CN45</f>
        <v>50.3130137</v>
      </c>
      <c r="CP45" s="177"/>
      <c r="CQ45" s="178"/>
      <c r="CR45" s="178"/>
      <c r="CS45" s="152"/>
      <c r="CT45" s="179"/>
      <c r="CU45" s="113"/>
      <c r="CV45" s="177"/>
      <c r="CW45" s="178"/>
      <c r="CX45" s="178"/>
      <c r="CY45" s="180"/>
      <c r="CZ45" s="181"/>
      <c r="DA45" s="182"/>
      <c r="DB45" s="183"/>
      <c r="DC45" s="177"/>
      <c r="DD45" s="178"/>
      <c r="DE45" s="178"/>
      <c r="DF45" s="152"/>
      <c r="DG45" s="179"/>
      <c r="DH45" s="113"/>
      <c r="DI45" s="177"/>
      <c r="DJ45" s="178"/>
      <c r="DK45" s="178"/>
      <c r="DL45" s="180"/>
      <c r="DM45" s="181"/>
      <c r="DN45" s="182"/>
      <c r="DO45" s="183"/>
      <c r="DP45" s="177"/>
      <c r="DQ45" s="178"/>
      <c r="DR45" s="178"/>
      <c r="DS45" s="152"/>
      <c r="DT45" s="179"/>
      <c r="DU45" s="113"/>
      <c r="DV45" s="177"/>
      <c r="DW45" s="178"/>
      <c r="DX45" s="178"/>
      <c r="DY45" s="180"/>
      <c r="DZ45" s="181"/>
      <c r="EA45" s="182"/>
      <c r="EB45" s="183"/>
      <c r="EC45" s="177"/>
      <c r="ED45" s="178"/>
      <c r="EE45" s="178"/>
      <c r="EF45" s="152"/>
      <c r="EG45" s="179"/>
      <c r="EH45" s="113"/>
      <c r="EI45" s="177"/>
      <c r="EJ45" s="178"/>
      <c r="EK45" s="178"/>
      <c r="EL45" s="180"/>
      <c r="EM45" s="181"/>
      <c r="EN45" s="182"/>
      <c r="EO45" s="183"/>
      <c r="EP45" s="1"/>
      <c r="EQ45" s="1"/>
      <c r="ER45" s="1"/>
      <c r="ES45" s="1"/>
      <c r="ET45" s="1"/>
      <c r="EU45" s="41">
        <f t="shared" si="6"/>
        <v>420.2616438</v>
      </c>
      <c r="EV45" s="186"/>
      <c r="EW45" s="54"/>
      <c r="EX45" s="54"/>
      <c r="EY45" s="55"/>
      <c r="EZ45" s="61">
        <f t="shared" si="1"/>
        <v>0</v>
      </c>
      <c r="FA45" s="1"/>
    </row>
    <row r="46" ht="13.5" customHeight="1">
      <c r="A46" s="48" t="s">
        <v>163</v>
      </c>
      <c r="B46" s="49" t="s">
        <v>164</v>
      </c>
      <c r="C46" s="177"/>
      <c r="D46" s="178"/>
      <c r="E46" s="178"/>
      <c r="F46" s="152"/>
      <c r="G46" s="179"/>
      <c r="H46" s="113"/>
      <c r="I46" s="177"/>
      <c r="J46" s="178"/>
      <c r="K46" s="178"/>
      <c r="L46" s="180"/>
      <c r="M46" s="181"/>
      <c r="N46" s="182"/>
      <c r="O46" s="183"/>
      <c r="P46" s="177"/>
      <c r="Q46" s="178"/>
      <c r="R46" s="178"/>
      <c r="S46" s="152"/>
      <c r="T46" s="179"/>
      <c r="U46" s="113"/>
      <c r="V46" s="177"/>
      <c r="W46" s="178"/>
      <c r="X46" s="178"/>
      <c r="Y46" s="180"/>
      <c r="Z46" s="181"/>
      <c r="AA46" s="182"/>
      <c r="AB46" s="183"/>
      <c r="AC46" s="177"/>
      <c r="AD46" s="178"/>
      <c r="AE46" s="178"/>
      <c r="AF46" s="152"/>
      <c r="AG46" s="179"/>
      <c r="AH46" s="113"/>
      <c r="AI46" s="177"/>
      <c r="AJ46" s="178"/>
      <c r="AK46" s="178"/>
      <c r="AL46" s="180"/>
      <c r="AM46" s="181"/>
      <c r="AN46" s="182"/>
      <c r="AO46" s="183"/>
      <c r="AP46" s="177"/>
      <c r="AQ46" s="178"/>
      <c r="AR46" s="178"/>
      <c r="AS46" s="152"/>
      <c r="AT46" s="179"/>
      <c r="AU46" s="113"/>
      <c r="AV46" s="177"/>
      <c r="AW46" s="178"/>
      <c r="AX46" s="178"/>
      <c r="AY46" s="180"/>
      <c r="AZ46" s="181"/>
      <c r="BA46" s="182"/>
      <c r="BB46" s="183"/>
      <c r="BC46" s="177"/>
      <c r="BD46" s="178"/>
      <c r="BE46" s="178"/>
      <c r="BF46" s="152"/>
      <c r="BG46" s="179"/>
      <c r="BH46" s="113"/>
      <c r="BI46" s="177"/>
      <c r="BJ46" s="178"/>
      <c r="BK46" s="178"/>
      <c r="BL46" s="180"/>
      <c r="BM46" s="181"/>
      <c r="BN46" s="182"/>
      <c r="BO46" s="183"/>
      <c r="BP46" s="177"/>
      <c r="BQ46" s="178"/>
      <c r="BR46" s="178"/>
      <c r="BS46" s="152"/>
      <c r="BT46" s="179"/>
      <c r="BU46" s="113"/>
      <c r="BV46" s="177"/>
      <c r="BW46" s="178"/>
      <c r="BX46" s="178"/>
      <c r="BY46" s="180"/>
      <c r="BZ46" s="181"/>
      <c r="CA46" s="182"/>
      <c r="CB46" s="183"/>
      <c r="CC46" s="177"/>
      <c r="CD46" s="178"/>
      <c r="CE46" s="178"/>
      <c r="CF46" s="152"/>
      <c r="CG46" s="179"/>
      <c r="CH46" s="113"/>
      <c r="CI46" s="177"/>
      <c r="CJ46" s="178"/>
      <c r="CK46" s="178"/>
      <c r="CL46" s="180"/>
      <c r="CM46" s="181"/>
      <c r="CN46" s="182"/>
      <c r="CO46" s="183"/>
      <c r="CP46" s="177"/>
      <c r="CQ46" s="178"/>
      <c r="CR46" s="178"/>
      <c r="CS46" s="152"/>
      <c r="CT46" s="179"/>
      <c r="CU46" s="113"/>
      <c r="CV46" s="177"/>
      <c r="CW46" s="178"/>
      <c r="CX46" s="178"/>
      <c r="CY46" s="180"/>
      <c r="CZ46" s="181"/>
      <c r="DA46" s="182"/>
      <c r="DB46" s="183"/>
      <c r="DC46" s="177"/>
      <c r="DD46" s="178"/>
      <c r="DE46" s="178"/>
      <c r="DF46" s="152"/>
      <c r="DG46" s="179"/>
      <c r="DH46" s="113"/>
      <c r="DI46" s="177"/>
      <c r="DJ46" s="178"/>
      <c r="DK46" s="178"/>
      <c r="DL46" s="180"/>
      <c r="DM46" s="181"/>
      <c r="DN46" s="182"/>
      <c r="DO46" s="183"/>
      <c r="DP46" s="177"/>
      <c r="DQ46" s="178"/>
      <c r="DR46" s="178"/>
      <c r="DS46" s="152"/>
      <c r="DT46" s="179"/>
      <c r="DU46" s="113"/>
      <c r="DV46" s="177"/>
      <c r="DW46" s="178"/>
      <c r="DX46" s="178"/>
      <c r="DY46" s="180"/>
      <c r="DZ46" s="181"/>
      <c r="EA46" s="182"/>
      <c r="EB46" s="183"/>
      <c r="EC46" s="177"/>
      <c r="ED46" s="178"/>
      <c r="EE46" s="178"/>
      <c r="EF46" s="152"/>
      <c r="EG46" s="179"/>
      <c r="EH46" s="113"/>
      <c r="EI46" s="177"/>
      <c r="EJ46" s="178"/>
      <c r="EK46" s="178"/>
      <c r="EL46" s="180"/>
      <c r="EM46" s="181"/>
      <c r="EN46" s="182"/>
      <c r="EO46" s="183"/>
      <c r="EP46" s="1"/>
      <c r="EQ46" s="1"/>
      <c r="ER46" s="1"/>
      <c r="ES46" s="1"/>
      <c r="ET46" s="1"/>
      <c r="EU46" s="41">
        <f t="shared" si="6"/>
        <v>0</v>
      </c>
      <c r="EV46" s="186"/>
      <c r="EW46" s="54"/>
      <c r="EX46" s="54"/>
      <c r="EY46" s="55"/>
      <c r="EZ46" s="61">
        <f t="shared" si="1"/>
        <v>0</v>
      </c>
      <c r="FA46" s="1"/>
    </row>
    <row r="47" ht="13.5" customHeight="1">
      <c r="A47" s="119" t="s">
        <v>165</v>
      </c>
      <c r="B47" s="120" t="s">
        <v>166</v>
      </c>
      <c r="C47" s="177"/>
      <c r="D47" s="178"/>
      <c r="E47" s="178"/>
      <c r="F47" s="152"/>
      <c r="G47" s="179"/>
      <c r="H47" s="113"/>
      <c r="I47" s="177"/>
      <c r="J47" s="178"/>
      <c r="K47" s="178"/>
      <c r="L47" s="180"/>
      <c r="M47" s="181"/>
      <c r="N47" s="182"/>
      <c r="O47" s="183"/>
      <c r="P47" s="177"/>
      <c r="Q47" s="178"/>
      <c r="R47" s="178"/>
      <c r="S47" s="152"/>
      <c r="T47" s="179"/>
      <c r="U47" s="113"/>
      <c r="V47" s="177"/>
      <c r="W47" s="178"/>
      <c r="X47" s="178"/>
      <c r="Y47" s="180"/>
      <c r="Z47" s="181"/>
      <c r="AA47" s="182"/>
      <c r="AB47" s="183"/>
      <c r="AC47" s="177"/>
      <c r="AD47" s="178"/>
      <c r="AE47" s="178"/>
      <c r="AF47" s="152"/>
      <c r="AG47" s="179"/>
      <c r="AH47" s="113"/>
      <c r="AI47" s="177"/>
      <c r="AJ47" s="178"/>
      <c r="AK47" s="178"/>
      <c r="AL47" s="180"/>
      <c r="AM47" s="181"/>
      <c r="AN47" s="182"/>
      <c r="AO47" s="187"/>
      <c r="AP47" s="177"/>
      <c r="AQ47" s="178"/>
      <c r="AR47" s="178"/>
      <c r="AS47" s="152"/>
      <c r="AT47" s="179"/>
      <c r="AU47" s="113"/>
      <c r="AV47" s="177"/>
      <c r="AW47" s="178"/>
      <c r="AX47" s="178"/>
      <c r="AY47" s="180"/>
      <c r="AZ47" s="181"/>
      <c r="BA47" s="182"/>
      <c r="BB47" s="183"/>
      <c r="BC47" s="177"/>
      <c r="BD47" s="178"/>
      <c r="BE47" s="178"/>
      <c r="BF47" s="152"/>
      <c r="BG47" s="179"/>
      <c r="BH47" s="113"/>
      <c r="BI47" s="177"/>
      <c r="BJ47" s="178"/>
      <c r="BK47" s="178"/>
      <c r="BL47" s="180"/>
      <c r="BM47" s="181"/>
      <c r="BN47" s="182"/>
      <c r="BO47" s="183"/>
      <c r="BP47" s="177"/>
      <c r="BQ47" s="178"/>
      <c r="BR47" s="178"/>
      <c r="BS47" s="152"/>
      <c r="BT47" s="179"/>
      <c r="BU47" s="113"/>
      <c r="BV47" s="177"/>
      <c r="BW47" s="178"/>
      <c r="BX47" s="178"/>
      <c r="BY47" s="180"/>
      <c r="BZ47" s="181"/>
      <c r="CA47" s="182"/>
      <c r="CB47" s="183"/>
      <c r="CC47" s="177"/>
      <c r="CD47" s="178"/>
      <c r="CE47" s="178"/>
      <c r="CF47" s="152"/>
      <c r="CG47" s="179"/>
      <c r="CH47" s="113"/>
      <c r="CI47" s="177"/>
      <c r="CJ47" s="178"/>
      <c r="CK47" s="178"/>
      <c r="CL47" s="180"/>
      <c r="CM47" s="181"/>
      <c r="CN47" s="182"/>
      <c r="CO47" s="183"/>
      <c r="CP47" s="177"/>
      <c r="CQ47" s="178"/>
      <c r="CR47" s="178"/>
      <c r="CS47" s="152"/>
      <c r="CT47" s="179"/>
      <c r="CU47" s="113"/>
      <c r="CV47" s="177"/>
      <c r="CW47" s="178"/>
      <c r="CX47" s="178"/>
      <c r="CY47" s="180"/>
      <c r="CZ47" s="181"/>
      <c r="DA47" s="182"/>
      <c r="DB47" s="183"/>
      <c r="DC47" s="177"/>
      <c r="DD47" s="178"/>
      <c r="DE47" s="178"/>
      <c r="DF47" s="152"/>
      <c r="DG47" s="179"/>
      <c r="DH47" s="113"/>
      <c r="DI47" s="177"/>
      <c r="DJ47" s="178"/>
      <c r="DK47" s="178"/>
      <c r="DL47" s="180"/>
      <c r="DM47" s="181"/>
      <c r="DN47" s="182"/>
      <c r="DO47" s="183"/>
      <c r="DP47" s="177"/>
      <c r="DQ47" s="178"/>
      <c r="DR47" s="178"/>
      <c r="DS47" s="152"/>
      <c r="DT47" s="179"/>
      <c r="DU47" s="113"/>
      <c r="DV47" s="177"/>
      <c r="DW47" s="178"/>
      <c r="DX47" s="178"/>
      <c r="DY47" s="180"/>
      <c r="DZ47" s="181"/>
      <c r="EA47" s="182"/>
      <c r="EB47" s="183"/>
      <c r="EC47" s="177"/>
      <c r="ED47" s="178"/>
      <c r="EE47" s="178"/>
      <c r="EF47" s="152"/>
      <c r="EG47" s="179"/>
      <c r="EH47" s="113"/>
      <c r="EI47" s="177"/>
      <c r="EJ47" s="178"/>
      <c r="EK47" s="178"/>
      <c r="EL47" s="180"/>
      <c r="EM47" s="181"/>
      <c r="EN47" s="182"/>
      <c r="EO47" s="183"/>
      <c r="EP47" s="1"/>
      <c r="EQ47" s="1"/>
      <c r="ER47" s="1"/>
      <c r="ES47" s="1"/>
      <c r="ET47" s="1"/>
      <c r="EU47" s="66">
        <f t="shared" si="6"/>
        <v>0</v>
      </c>
      <c r="EV47" s="195"/>
      <c r="EW47" s="196"/>
      <c r="EX47" s="196"/>
      <c r="EY47" s="126"/>
      <c r="EZ47" s="61">
        <f t="shared" si="1"/>
        <v>0</v>
      </c>
      <c r="FA47" s="1"/>
    </row>
    <row r="48" ht="13.5" customHeight="1">
      <c r="A48" s="127"/>
      <c r="B48" s="128" t="s">
        <v>67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1"/>
      <c r="EQ48" s="1"/>
      <c r="ER48" s="1"/>
      <c r="ES48" s="1"/>
      <c r="ET48" s="1"/>
      <c r="EU48" s="45">
        <f t="shared" ref="EU48:EZ48" si="25">SUM(EU8:EU47)</f>
        <v>24078.25186</v>
      </c>
      <c r="EV48" s="45">
        <f t="shared" si="25"/>
        <v>0</v>
      </c>
      <c r="EW48" s="45">
        <f t="shared" si="25"/>
        <v>0</v>
      </c>
      <c r="EX48" s="45">
        <f t="shared" si="25"/>
        <v>1112</v>
      </c>
      <c r="EY48" s="45">
        <f t="shared" si="25"/>
        <v>0</v>
      </c>
      <c r="EZ48" s="45">
        <f t="shared" si="25"/>
        <v>1112</v>
      </c>
      <c r="F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34"/>
      <c r="EW49" s="34"/>
      <c r="EX49" s="34"/>
      <c r="EY49" s="34"/>
      <c r="EZ49" s="34"/>
      <c r="F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4"/>
      <c r="V56" s="4"/>
      <c r="W56" s="4"/>
      <c r="X56" s="4"/>
      <c r="Y56" s="4"/>
      <c r="Z56" s="2"/>
      <c r="AA56" s="2"/>
      <c r="AB56" s="2"/>
      <c r="AC56" s="2"/>
      <c r="AD56" s="4"/>
      <c r="AE56" s="4"/>
      <c r="AF56" s="2"/>
      <c r="AG56" s="2"/>
      <c r="AH56" s="2"/>
      <c r="AI56" s="4"/>
      <c r="AJ56" s="4"/>
      <c r="AK56" s="4"/>
      <c r="AL56" s="2"/>
      <c r="AM56" s="2"/>
      <c r="AN56" s="2"/>
      <c r="AO56" s="2"/>
      <c r="AP56" s="2"/>
      <c r="AQ56" s="4"/>
      <c r="AR56" s="4"/>
      <c r="AS56" s="2"/>
      <c r="AT56" s="2"/>
      <c r="AU56" s="2"/>
      <c r="AV56" s="2"/>
      <c r="AW56" s="4"/>
      <c r="AX56" s="4"/>
      <c r="AY56" s="2"/>
      <c r="AZ56" s="2"/>
      <c r="BA56" s="2"/>
      <c r="BB56" s="2"/>
      <c r="BC56" s="2"/>
      <c r="BD56" s="4"/>
      <c r="BE56" s="4"/>
      <c r="BF56" s="2"/>
      <c r="BG56" s="2"/>
      <c r="BH56" s="2"/>
      <c r="BI56" s="2"/>
      <c r="BJ56" s="4"/>
      <c r="BK56" s="4"/>
      <c r="BL56" s="2"/>
      <c r="BM56" s="2"/>
      <c r="BN56" s="2"/>
      <c r="BO56" s="2"/>
      <c r="BP56" s="2"/>
      <c r="BQ56" s="4"/>
      <c r="BR56" s="4"/>
      <c r="BS56" s="2"/>
      <c r="BT56" s="2"/>
      <c r="BU56" s="2"/>
      <c r="BV56" s="2"/>
      <c r="BW56" s="4"/>
      <c r="BX56" s="4"/>
      <c r="BY56" s="2"/>
      <c r="BZ56" s="2"/>
      <c r="CA56" s="2"/>
      <c r="CB56" s="2"/>
      <c r="CC56" s="2"/>
      <c r="CD56" s="4"/>
      <c r="CE56" s="4"/>
      <c r="CF56" s="2"/>
      <c r="CG56" s="2"/>
      <c r="CH56" s="2"/>
      <c r="CI56" s="2"/>
      <c r="CJ56" s="4"/>
      <c r="CK56" s="4"/>
      <c r="CL56" s="2"/>
      <c r="CM56" s="2"/>
      <c r="CN56" s="2"/>
      <c r="CO56" s="2"/>
      <c r="CP56" s="2"/>
      <c r="CQ56" s="4"/>
      <c r="CR56" s="4"/>
      <c r="CS56" s="2"/>
      <c r="CT56" s="2"/>
      <c r="CU56" s="2"/>
      <c r="CV56" s="2"/>
      <c r="CW56" s="4"/>
      <c r="CX56" s="4"/>
      <c r="CY56" s="2"/>
      <c r="CZ56" s="2"/>
      <c r="DA56" s="2"/>
      <c r="DB56" s="2"/>
      <c r="DC56" s="2"/>
      <c r="DD56" s="4"/>
      <c r="DE56" s="4"/>
      <c r="DF56" s="2"/>
      <c r="DG56" s="2"/>
      <c r="DH56" s="2"/>
      <c r="DI56" s="2"/>
      <c r="DJ56" s="4"/>
      <c r="DK56" s="4"/>
      <c r="DL56" s="2"/>
      <c r="DM56" s="2"/>
      <c r="DN56" s="2"/>
      <c r="DO56" s="2"/>
      <c r="DP56" s="2"/>
      <c r="DQ56" s="4"/>
      <c r="DR56" s="4"/>
      <c r="DS56" s="2"/>
      <c r="DT56" s="2"/>
      <c r="DU56" s="2"/>
      <c r="DV56" s="2"/>
      <c r="DW56" s="4"/>
      <c r="DX56" s="4"/>
      <c r="DY56" s="4"/>
      <c r="DZ56" s="2"/>
      <c r="EA56" s="2"/>
      <c r="EB56" s="2"/>
      <c r="EC56" s="2"/>
      <c r="ED56" s="4"/>
      <c r="EE56" s="4"/>
      <c r="EF56" s="2"/>
      <c r="EG56" s="2"/>
      <c r="EH56" s="2"/>
      <c r="EI56" s="4"/>
      <c r="EJ56" s="4"/>
      <c r="EK56" s="4"/>
      <c r="EL56" s="2"/>
      <c r="EM56" s="2"/>
      <c r="EN56" s="2"/>
      <c r="EO56" s="2"/>
      <c r="EP56" s="2"/>
      <c r="EQ56" s="2"/>
      <c r="ER56" s="2"/>
      <c r="ES56" s="2"/>
      <c r="ET56" s="2"/>
      <c r="EU56" s="4"/>
      <c r="EV56" s="2"/>
      <c r="EW56" s="2"/>
      <c r="EX56" s="2"/>
      <c r="EY56" s="2"/>
      <c r="EZ56" s="2"/>
      <c r="FA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</row>
  </sheetData>
  <mergeCells count="13">
    <mergeCell ref="AC6:AO6"/>
    <mergeCell ref="C6:O6"/>
    <mergeCell ref="P6:AB6"/>
    <mergeCell ref="CC6:CO6"/>
    <mergeCell ref="BP6:CB6"/>
    <mergeCell ref="EV5:EZ5"/>
    <mergeCell ref="EV4:EZ4"/>
    <mergeCell ref="EC6:EO6"/>
    <mergeCell ref="DC6:DO6"/>
    <mergeCell ref="DP6:EB6"/>
    <mergeCell ref="BC6:BO6"/>
    <mergeCell ref="AP6:BB6"/>
    <mergeCell ref="CP6:DB6"/>
  </mergeCells>
  <drawing r:id="rId1"/>
</worksheet>
</file>